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DMINISTRACION 2021-2024\TRANSPARENCIA\11 NOVIEMBRE 2021\INFORMACION PARA TRANSPARENCIA\4 INCISO G NOMINAS DEL SUJETO OBLIGADO SEPTIEMBRE 2021\"/>
    </mc:Choice>
  </mc:AlternateContent>
  <bookViews>
    <workbookView xWindow="0" yWindow="0" windowWidth="28800" windowHeight="12432" tabRatio="775" firstSheet="1" activeTab="4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state="hidden" r:id="rId7"/>
  </sheets>
  <externalReferences>
    <externalReference r:id="rId8"/>
  </externalReferences>
  <definedNames>
    <definedName name="_45">#REF!</definedName>
    <definedName name="_xlnm.Print_Area" localSheetId="5">JUBILADOS!$C$3:$I$28</definedName>
    <definedName name="_xlnm.Print_Area" localSheetId="2">PERMANENTES!$B$2:$M$32</definedName>
    <definedName name="_xlnm.Print_Area" localSheetId="1">REGIDORES!$A$3:$L$35</definedName>
    <definedName name="_xlnm.Print_Area" localSheetId="4">'SEG.PUB.MPAL Y PROTECCION CIVIL'!$C$2:$L$47</definedName>
    <definedName name="_xlnm.Print_Area" localSheetId="3">SUPERNUMERARIO!$B$127:$M$180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H19" i="125" l="1"/>
  <c r="J16" i="120" l="1"/>
  <c r="L16" i="120" s="1"/>
  <c r="K42" i="123"/>
  <c r="G42" i="123"/>
  <c r="H109" i="123"/>
  <c r="J109" i="123" s="1"/>
  <c r="J114" i="123"/>
  <c r="I114" i="123"/>
  <c r="J34" i="123"/>
  <c r="L34" i="123" s="1"/>
  <c r="L114" i="123" l="1"/>
  <c r="I109" i="123"/>
  <c r="L109" i="123" s="1"/>
  <c r="H122" i="123" l="1"/>
  <c r="J21" i="123"/>
  <c r="I21" i="123"/>
  <c r="G47" i="124"/>
  <c r="G40" i="124"/>
  <c r="G122" i="123"/>
  <c r="G84" i="123"/>
  <c r="J80" i="123"/>
  <c r="I80" i="123"/>
  <c r="J108" i="123"/>
  <c r="L108" i="123" s="1"/>
  <c r="L80" i="123" l="1"/>
  <c r="L21" i="123"/>
  <c r="J36" i="124"/>
  <c r="I36" i="124"/>
  <c r="K36" i="124" s="1"/>
  <c r="I22" i="124"/>
  <c r="J22" i="124"/>
  <c r="I23" i="124"/>
  <c r="K23" i="124" s="1"/>
  <c r="J23" i="124"/>
  <c r="I24" i="124"/>
  <c r="J24" i="124"/>
  <c r="K24" i="124" s="1"/>
  <c r="I25" i="124"/>
  <c r="J25" i="124"/>
  <c r="I26" i="124"/>
  <c r="K26" i="124" s="1"/>
  <c r="J26" i="124"/>
  <c r="I27" i="124"/>
  <c r="J27" i="124"/>
  <c r="K27" i="124"/>
  <c r="J28" i="124"/>
  <c r="K28" i="124" s="1"/>
  <c r="J29" i="124"/>
  <c r="K29" i="124" s="1"/>
  <c r="J30" i="124"/>
  <c r="K30" i="124" s="1"/>
  <c r="J31" i="124"/>
  <c r="K31" i="124" s="1"/>
  <c r="I32" i="124"/>
  <c r="J32" i="124"/>
  <c r="K32" i="124" s="1"/>
  <c r="I33" i="124"/>
  <c r="J33" i="124"/>
  <c r="I34" i="124"/>
  <c r="J34" i="124"/>
  <c r="I35" i="124"/>
  <c r="J35" i="124"/>
  <c r="K35" i="124"/>
  <c r="K25" i="124" l="1"/>
  <c r="K34" i="124"/>
  <c r="K33" i="124"/>
  <c r="K22" i="124"/>
  <c r="G183" i="123"/>
  <c r="J117" i="123"/>
  <c r="L117" i="123" s="1"/>
  <c r="J116" i="123"/>
  <c r="I116" i="123"/>
  <c r="J96" i="123"/>
  <c r="L96" i="123" s="1"/>
  <c r="H149" i="123"/>
  <c r="J149" i="123" s="1"/>
  <c r="H148" i="123"/>
  <c r="L116" i="123" l="1"/>
  <c r="G172" i="123"/>
  <c r="I149" i="123"/>
  <c r="L149" i="123" s="1"/>
  <c r="I150" i="123"/>
  <c r="J150" i="123"/>
  <c r="I148" i="123"/>
  <c r="J148" i="123"/>
  <c r="L150" i="123" l="1"/>
  <c r="L148" i="123"/>
  <c r="G187" i="123" l="1"/>
  <c r="K183" i="123"/>
  <c r="K122" i="123"/>
  <c r="I119" i="123"/>
  <c r="J119" i="123"/>
  <c r="K84" i="123"/>
  <c r="J61" i="123"/>
  <c r="L61" i="123" s="1"/>
  <c r="J59" i="123"/>
  <c r="L59" i="123" s="1"/>
  <c r="J58" i="123"/>
  <c r="I58" i="123"/>
  <c r="J56" i="123"/>
  <c r="I56" i="123"/>
  <c r="J55" i="123"/>
  <c r="I55" i="123"/>
  <c r="J53" i="123"/>
  <c r="I53" i="123"/>
  <c r="J52" i="123"/>
  <c r="I52" i="123"/>
  <c r="H107" i="120"/>
  <c r="G107" i="120"/>
  <c r="H85" i="120"/>
  <c r="G85" i="120"/>
  <c r="H122" i="120"/>
  <c r="K122" i="120"/>
  <c r="G122" i="120"/>
  <c r="K85" i="120"/>
  <c r="H59" i="120"/>
  <c r="G59" i="120"/>
  <c r="H33" i="120"/>
  <c r="K33" i="120"/>
  <c r="G33" i="120"/>
  <c r="H147" i="123"/>
  <c r="H146" i="123"/>
  <c r="H143" i="123"/>
  <c r="H142" i="123"/>
  <c r="H140" i="123"/>
  <c r="J140" i="123" s="1"/>
  <c r="H139" i="123"/>
  <c r="J139" i="123" s="1"/>
  <c r="H138" i="123"/>
  <c r="J156" i="123"/>
  <c r="L156" i="123" s="1"/>
  <c r="J39" i="124"/>
  <c r="I39" i="124"/>
  <c r="J38" i="124"/>
  <c r="I38" i="124"/>
  <c r="J84" i="120"/>
  <c r="I84" i="120"/>
  <c r="L84" i="120" s="1"/>
  <c r="J76" i="120"/>
  <c r="I76" i="120"/>
  <c r="I78" i="120"/>
  <c r="J78" i="120"/>
  <c r="I79" i="120"/>
  <c r="J79" i="120"/>
  <c r="I80" i="120"/>
  <c r="J80" i="120"/>
  <c r="I82" i="120"/>
  <c r="J82" i="120"/>
  <c r="J58" i="120"/>
  <c r="I58" i="120"/>
  <c r="J20" i="123"/>
  <c r="I20" i="123"/>
  <c r="L80" i="120" l="1"/>
  <c r="L78" i="120"/>
  <c r="G126" i="120"/>
  <c r="L119" i="123"/>
  <c r="L58" i="123"/>
  <c r="L53" i="123"/>
  <c r="L56" i="123"/>
  <c r="L55" i="123"/>
  <c r="L52" i="123"/>
  <c r="L76" i="120"/>
  <c r="I147" i="123"/>
  <c r="J147" i="123"/>
  <c r="I146" i="123"/>
  <c r="J146" i="123"/>
  <c r="I143" i="123"/>
  <c r="J143" i="123"/>
  <c r="I142" i="123"/>
  <c r="J142" i="123"/>
  <c r="I140" i="123"/>
  <c r="L140" i="123" s="1"/>
  <c r="I139" i="123"/>
  <c r="L139" i="123" s="1"/>
  <c r="I138" i="123"/>
  <c r="J138" i="123"/>
  <c r="K38" i="124"/>
  <c r="K39" i="124"/>
  <c r="L82" i="120"/>
  <c r="L79" i="120"/>
  <c r="L58" i="120"/>
  <c r="L20" i="123"/>
  <c r="L138" i="123" l="1"/>
  <c r="L142" i="123"/>
  <c r="L146" i="123"/>
  <c r="L143" i="123"/>
  <c r="L147" i="123"/>
  <c r="H13" i="124" l="1"/>
  <c r="J13" i="124" s="1"/>
  <c r="H12" i="124"/>
  <c r="J66" i="123"/>
  <c r="I66" i="123"/>
  <c r="H141" i="123"/>
  <c r="J144" i="123"/>
  <c r="I144" i="123"/>
  <c r="J71" i="123"/>
  <c r="I71" i="123"/>
  <c r="J70" i="123"/>
  <c r="I70" i="123"/>
  <c r="J79" i="123"/>
  <c r="I79" i="123"/>
  <c r="J76" i="123"/>
  <c r="I76" i="123"/>
  <c r="J65" i="123"/>
  <c r="I65" i="123"/>
  <c r="J77" i="123"/>
  <c r="I77" i="123"/>
  <c r="J64" i="123"/>
  <c r="I64" i="123"/>
  <c r="J68" i="123"/>
  <c r="I68" i="123"/>
  <c r="J70" i="120"/>
  <c r="I70" i="120"/>
  <c r="J112" i="123"/>
  <c r="I112" i="123"/>
  <c r="J111" i="123"/>
  <c r="I111" i="123"/>
  <c r="J75" i="123"/>
  <c r="I75" i="123"/>
  <c r="J63" i="123"/>
  <c r="I63" i="123"/>
  <c r="I99" i="120"/>
  <c r="I97" i="120"/>
  <c r="J168" i="123"/>
  <c r="I168" i="123"/>
  <c r="J165" i="123"/>
  <c r="I165" i="123"/>
  <c r="J166" i="123"/>
  <c r="L166" i="123" s="1"/>
  <c r="I141" i="123" l="1"/>
  <c r="L65" i="123"/>
  <c r="L68" i="123"/>
  <c r="L76" i="123"/>
  <c r="L70" i="123"/>
  <c r="L144" i="123"/>
  <c r="L111" i="123"/>
  <c r="L75" i="123"/>
  <c r="L64" i="123"/>
  <c r="L112" i="123"/>
  <c r="L71" i="123"/>
  <c r="J141" i="123"/>
  <c r="L66" i="123"/>
  <c r="L168" i="123"/>
  <c r="L77" i="123"/>
  <c r="I13" i="124"/>
  <c r="K13" i="124" s="1"/>
  <c r="I12" i="124"/>
  <c r="J12" i="124"/>
  <c r="L79" i="123"/>
  <c r="L70" i="120"/>
  <c r="L63" i="123"/>
  <c r="L165" i="123"/>
  <c r="J30" i="120"/>
  <c r="I30" i="120"/>
  <c r="J61" i="124"/>
  <c r="K61" i="124" s="1"/>
  <c r="J62" i="124"/>
  <c r="K62" i="124" s="1"/>
  <c r="I61" i="124"/>
  <c r="I62" i="124"/>
  <c r="H68" i="124"/>
  <c r="H67" i="124"/>
  <c r="J67" i="124" s="1"/>
  <c r="K67" i="124" s="1"/>
  <c r="J98" i="123"/>
  <c r="I98" i="123"/>
  <c r="J94" i="123"/>
  <c r="I94" i="123"/>
  <c r="J12" i="123"/>
  <c r="J163" i="123"/>
  <c r="L163" i="123" s="1"/>
  <c r="J152" i="123"/>
  <c r="I152" i="123"/>
  <c r="J23" i="120"/>
  <c r="I23" i="120"/>
  <c r="J52" i="120"/>
  <c r="I52" i="120"/>
  <c r="I36" i="123"/>
  <c r="J36" i="123"/>
  <c r="J171" i="123"/>
  <c r="J170" i="123"/>
  <c r="I170" i="123"/>
  <c r="J38" i="123"/>
  <c r="I38" i="123"/>
  <c r="J161" i="123"/>
  <c r="L161" i="123" s="1"/>
  <c r="J32" i="120"/>
  <c r="I32" i="120"/>
  <c r="J107" i="123"/>
  <c r="I107" i="123"/>
  <c r="J159" i="123"/>
  <c r="I159" i="123"/>
  <c r="J102" i="123"/>
  <c r="L102" i="123" s="1"/>
  <c r="J100" i="123"/>
  <c r="I100" i="123"/>
  <c r="I55" i="120"/>
  <c r="J55" i="120"/>
  <c r="J29" i="123"/>
  <c r="L29" i="123" s="1"/>
  <c r="J24" i="123"/>
  <c r="I24" i="123"/>
  <c r="J23" i="123"/>
  <c r="I23" i="123"/>
  <c r="J22" i="123"/>
  <c r="I22" i="123"/>
  <c r="J17" i="123"/>
  <c r="L17" i="123" s="1"/>
  <c r="J18" i="123"/>
  <c r="L18" i="123" s="1"/>
  <c r="J17" i="120"/>
  <c r="I17" i="120"/>
  <c r="L30" i="120" l="1"/>
  <c r="L141" i="123"/>
  <c r="L171" i="123"/>
  <c r="L12" i="123"/>
  <c r="L98" i="123"/>
  <c r="L23" i="120"/>
  <c r="K12" i="124"/>
  <c r="L152" i="123"/>
  <c r="L94" i="123"/>
  <c r="L32" i="120"/>
  <c r="I68" i="124"/>
  <c r="J68" i="124"/>
  <c r="K68" i="124" s="1"/>
  <c r="I67" i="124"/>
  <c r="L52" i="120"/>
  <c r="L36" i="123"/>
  <c r="L170" i="123"/>
  <c r="L38" i="123"/>
  <c r="L107" i="123"/>
  <c r="L100" i="123"/>
  <c r="L159" i="123"/>
  <c r="L55" i="120"/>
  <c r="L24" i="123"/>
  <c r="L23" i="123"/>
  <c r="L22" i="123"/>
  <c r="L17" i="120"/>
  <c r="H111" i="120" l="1"/>
  <c r="G111" i="120"/>
  <c r="K58" i="120"/>
  <c r="K59" i="120" s="1"/>
  <c r="K107" i="120" s="1"/>
  <c r="H108" i="120"/>
  <c r="K108" i="120"/>
  <c r="G108" i="120"/>
  <c r="H110" i="120" l="1"/>
  <c r="G110" i="120"/>
  <c r="I24" i="120"/>
  <c r="L24" i="120" s="1"/>
  <c r="F16" i="126" l="1"/>
  <c r="J16" i="126" s="1"/>
  <c r="J13" i="120" l="1"/>
  <c r="J14" i="120"/>
  <c r="I18" i="124" l="1"/>
  <c r="J18" i="124"/>
  <c r="I19" i="124"/>
  <c r="J19" i="124"/>
  <c r="I20" i="124"/>
  <c r="J20" i="124"/>
  <c r="I21" i="124"/>
  <c r="J21" i="124"/>
  <c r="K21" i="124" l="1"/>
  <c r="K18" i="124"/>
  <c r="K20" i="124"/>
  <c r="K19" i="124"/>
  <c r="J155" i="123"/>
  <c r="L155" i="123" s="1"/>
  <c r="J15" i="124" l="1"/>
  <c r="K15" i="124" s="1"/>
  <c r="H18" i="125" l="1"/>
  <c r="J99" i="120" l="1"/>
  <c r="J45" i="120" l="1"/>
  <c r="I45" i="120"/>
  <c r="L45" i="120" l="1"/>
  <c r="F21" i="126" l="1"/>
  <c r="J21" i="126" s="1"/>
  <c r="K21" i="126" s="1"/>
  <c r="H21" i="126" l="1"/>
  <c r="J136" i="123" l="1"/>
  <c r="I136" i="123"/>
  <c r="J105" i="123"/>
  <c r="J122" i="123" s="1"/>
  <c r="I105" i="123"/>
  <c r="I122" i="123" s="1"/>
  <c r="I67" i="123"/>
  <c r="J67" i="123"/>
  <c r="I73" i="123"/>
  <c r="J73" i="123"/>
  <c r="I74" i="123"/>
  <c r="J74" i="123"/>
  <c r="I78" i="123"/>
  <c r="J78" i="123"/>
  <c r="J39" i="123"/>
  <c r="I39" i="123"/>
  <c r="J33" i="123"/>
  <c r="I33" i="123"/>
  <c r="J27" i="123"/>
  <c r="I27" i="123"/>
  <c r="J16" i="123"/>
  <c r="I16" i="123"/>
  <c r="I14" i="123"/>
  <c r="J14" i="123"/>
  <c r="J153" i="123"/>
  <c r="I153" i="123"/>
  <c r="J104" i="120"/>
  <c r="J103" i="120"/>
  <c r="J96" i="120"/>
  <c r="J97" i="120"/>
  <c r="J98" i="120"/>
  <c r="J100" i="120"/>
  <c r="J101" i="120"/>
  <c r="J77" i="120"/>
  <c r="J74" i="120"/>
  <c r="J73" i="120"/>
  <c r="J72" i="120"/>
  <c r="J71" i="120"/>
  <c r="J69" i="120"/>
  <c r="J56" i="120"/>
  <c r="J53" i="120"/>
  <c r="J50" i="120"/>
  <c r="J49" i="120"/>
  <c r="J48" i="120"/>
  <c r="J47" i="120"/>
  <c r="J29" i="120"/>
  <c r="J28" i="120"/>
  <c r="J26" i="120"/>
  <c r="J21" i="120"/>
  <c r="J20" i="120"/>
  <c r="J19" i="120"/>
  <c r="J12" i="120"/>
  <c r="I100" i="120"/>
  <c r="I101" i="120"/>
  <c r="I98" i="120"/>
  <c r="I96" i="120"/>
  <c r="I95" i="120"/>
  <c r="I71" i="120"/>
  <c r="I72" i="120"/>
  <c r="I73" i="120"/>
  <c r="I74" i="120"/>
  <c r="I29" i="120"/>
  <c r="J85" i="120" l="1"/>
  <c r="J59" i="120"/>
  <c r="J33" i="120"/>
  <c r="L105" i="123"/>
  <c r="L27" i="123"/>
  <c r="L153" i="123"/>
  <c r="L78" i="123"/>
  <c r="L74" i="123"/>
  <c r="L67" i="123"/>
  <c r="L33" i="123"/>
  <c r="L73" i="123"/>
  <c r="J14" i="124"/>
  <c r="L122" i="123" l="1"/>
  <c r="H17" i="125"/>
  <c r="H16" i="125"/>
  <c r="H15" i="125"/>
  <c r="H14" i="125"/>
  <c r="J64" i="124" l="1"/>
  <c r="I64" i="124"/>
  <c r="J63" i="124"/>
  <c r="I63" i="124"/>
  <c r="I17" i="124"/>
  <c r="J17" i="124"/>
  <c r="I14" i="124"/>
  <c r="K14" i="124" s="1"/>
  <c r="K17" i="124" l="1"/>
  <c r="I103" i="120"/>
  <c r="J95" i="120"/>
  <c r="I77" i="120"/>
  <c r="I69" i="120"/>
  <c r="I85" i="120" s="1"/>
  <c r="I53" i="120"/>
  <c r="I50" i="120"/>
  <c r="I49" i="120"/>
  <c r="I48" i="120"/>
  <c r="I47" i="120"/>
  <c r="I28" i="120"/>
  <c r="I26" i="120"/>
  <c r="I21" i="120"/>
  <c r="I20" i="120"/>
  <c r="I19" i="120"/>
  <c r="I14" i="120"/>
  <c r="I12" i="120"/>
  <c r="I104" i="120"/>
  <c r="I56" i="120"/>
  <c r="C12" i="130"/>
  <c r="I33" i="120" l="1"/>
  <c r="J122" i="120"/>
  <c r="J107" i="120"/>
  <c r="I122" i="120"/>
  <c r="I59" i="120"/>
  <c r="J108" i="120"/>
  <c r="I108" i="120"/>
  <c r="C15" i="130"/>
  <c r="I107" i="120" l="1"/>
  <c r="L107" i="120" s="1"/>
  <c r="I110" i="120"/>
  <c r="C22" i="130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H11" i="124" l="1"/>
  <c r="O19" i="124"/>
  <c r="H12" i="125"/>
  <c r="H13" i="125"/>
  <c r="F20" i="125"/>
  <c r="G20" i="125"/>
  <c r="P11" i="124"/>
  <c r="H16" i="124"/>
  <c r="H40" i="124" s="1"/>
  <c r="P16" i="124"/>
  <c r="P18" i="124"/>
  <c r="P61" i="124"/>
  <c r="K63" i="124"/>
  <c r="K64" i="124"/>
  <c r="P64" i="124"/>
  <c r="H65" i="124"/>
  <c r="P65" i="124"/>
  <c r="H66" i="124"/>
  <c r="P66" i="124"/>
  <c r="G70" i="124"/>
  <c r="H13" i="123"/>
  <c r="H42" i="123" s="1"/>
  <c r="L14" i="123"/>
  <c r="L16" i="123"/>
  <c r="L32" i="123"/>
  <c r="H69" i="123"/>
  <c r="H81" i="123"/>
  <c r="H145" i="123"/>
  <c r="K172" i="123"/>
  <c r="G174" i="123"/>
  <c r="L12" i="120"/>
  <c r="L14" i="120"/>
  <c r="L19" i="120"/>
  <c r="L20" i="120"/>
  <c r="L21" i="120"/>
  <c r="L26" i="120"/>
  <c r="L28" i="120"/>
  <c r="L29" i="120"/>
  <c r="L47" i="120"/>
  <c r="L48" i="120"/>
  <c r="L49" i="120"/>
  <c r="L50" i="120"/>
  <c r="L53" i="120"/>
  <c r="L56" i="120"/>
  <c r="L69" i="120"/>
  <c r="L71" i="120"/>
  <c r="L72" i="120"/>
  <c r="L73" i="120"/>
  <c r="L74" i="120"/>
  <c r="L77" i="120"/>
  <c r="L95" i="120"/>
  <c r="L96" i="120"/>
  <c r="L97" i="120"/>
  <c r="L98" i="120"/>
  <c r="L99" i="120"/>
  <c r="L100" i="120"/>
  <c r="L101" i="120"/>
  <c r="L103" i="120"/>
  <c r="L104" i="120"/>
  <c r="F12" i="126"/>
  <c r="J12" i="126" s="1"/>
  <c r="F13" i="126"/>
  <c r="J13" i="126" s="1"/>
  <c r="F14" i="126"/>
  <c r="J14" i="126" s="1"/>
  <c r="F15" i="126"/>
  <c r="J15" i="126" s="1"/>
  <c r="F17" i="126"/>
  <c r="J17" i="126" s="1"/>
  <c r="F18" i="126"/>
  <c r="J18" i="126" s="1"/>
  <c r="F20" i="126"/>
  <c r="E23" i="126"/>
  <c r="G23" i="126"/>
  <c r="I23" i="126"/>
  <c r="H20" i="125" l="1"/>
  <c r="H47" i="124"/>
  <c r="L59" i="120"/>
  <c r="L85" i="120"/>
  <c r="L122" i="120"/>
  <c r="L121" i="120"/>
  <c r="M121" i="120"/>
  <c r="L109" i="120"/>
  <c r="L33" i="120"/>
  <c r="L126" i="120" s="1"/>
  <c r="H84" i="123"/>
  <c r="H183" i="123"/>
  <c r="I13" i="123"/>
  <c r="I42" i="123" s="1"/>
  <c r="L108" i="120"/>
  <c r="I145" i="123"/>
  <c r="J145" i="123"/>
  <c r="J183" i="123" s="1"/>
  <c r="I69" i="123"/>
  <c r="J69" i="123"/>
  <c r="J81" i="123"/>
  <c r="I81" i="123"/>
  <c r="J11" i="124"/>
  <c r="K16" i="126"/>
  <c r="K19" i="126"/>
  <c r="K17" i="126"/>
  <c r="H17" i="126"/>
  <c r="H18" i="126"/>
  <c r="K18" i="126"/>
  <c r="H14" i="126"/>
  <c r="K14" i="126"/>
  <c r="F23" i="126"/>
  <c r="H15" i="126"/>
  <c r="K15" i="126"/>
  <c r="K13" i="126"/>
  <c r="H13" i="126"/>
  <c r="H12" i="126"/>
  <c r="K12" i="126" s="1"/>
  <c r="O21" i="124"/>
  <c r="H70" i="124"/>
  <c r="P40" i="124"/>
  <c r="I11" i="124"/>
  <c r="J66" i="124"/>
  <c r="K66" i="124" s="1"/>
  <c r="I66" i="124"/>
  <c r="J65" i="124"/>
  <c r="I65" i="124"/>
  <c r="I16" i="124"/>
  <c r="J16" i="124"/>
  <c r="J40" i="124" s="1"/>
  <c r="J13" i="123"/>
  <c r="J42" i="123" s="1"/>
  <c r="G175" i="123"/>
  <c r="H174" i="123"/>
  <c r="I47" i="124" l="1"/>
  <c r="J47" i="124"/>
  <c r="H172" i="123"/>
  <c r="I40" i="124"/>
  <c r="I84" i="123"/>
  <c r="J84" i="123"/>
  <c r="J172" i="123" s="1"/>
  <c r="I183" i="123"/>
  <c r="L81" i="123"/>
  <c r="L110" i="120"/>
  <c r="L69" i="123"/>
  <c r="M128" i="120"/>
  <c r="K16" i="124"/>
  <c r="K11" i="124"/>
  <c r="K47" i="124" s="1"/>
  <c r="L145" i="123"/>
  <c r="H23" i="126"/>
  <c r="J23" i="126"/>
  <c r="I70" i="124"/>
  <c r="K20" i="126"/>
  <c r="K23" i="126" s="1"/>
  <c r="L39" i="123"/>
  <c r="J70" i="124"/>
  <c r="K65" i="124"/>
  <c r="K70" i="124" s="1"/>
  <c r="L13" i="123"/>
  <c r="L42" i="123" s="1"/>
  <c r="I174" i="123"/>
  <c r="J174" i="123"/>
  <c r="L136" i="123"/>
  <c r="H175" i="123"/>
  <c r="K40" i="124" l="1"/>
  <c r="L185" i="123"/>
  <c r="I172" i="123"/>
  <c r="K82" i="124"/>
  <c r="L183" i="123"/>
  <c r="N45" i="123"/>
  <c r="M84" i="123"/>
  <c r="L182" i="123"/>
  <c r="M42" i="123"/>
  <c r="L84" i="123"/>
  <c r="Q11" i="124"/>
  <c r="L174" i="123"/>
  <c r="J175" i="123"/>
  <c r="J176" i="123"/>
  <c r="I176" i="123"/>
  <c r="I175" i="123"/>
  <c r="L172" i="123" l="1"/>
  <c r="L194" i="123"/>
  <c r="L190" i="123"/>
  <c r="N46" i="123"/>
  <c r="J110" i="120"/>
</calcChain>
</file>

<file path=xl/sharedStrings.xml><?xml version="1.0" encoding="utf-8"?>
<sst xmlns="http://schemas.openxmlformats.org/spreadsheetml/2006/main" count="680" uniqueCount="379">
  <si>
    <t>P E R C E P C I O N E S</t>
  </si>
  <si>
    <t>Sueldo</t>
  </si>
  <si>
    <t>Total</t>
  </si>
  <si>
    <t>Dias</t>
  </si>
  <si>
    <t>Trab.</t>
  </si>
  <si>
    <t>T O T A L E S</t>
  </si>
  <si>
    <t>Quincenal</t>
  </si>
  <si>
    <t>LA PLAZA</t>
  </si>
  <si>
    <t xml:space="preserve">NOMBRE DE </t>
  </si>
  <si>
    <t xml:space="preserve">       PRESIDENTE MUNICIPAL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</si>
  <si>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</si>
  <si>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</si>
  <si>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</si>
  <si>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</si>
  <si>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</si>
  <si>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</si>
  <si>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</si>
  <si>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</si>
  <si>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</si>
  <si>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</si>
  <si>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</si>
  <si>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</si>
  <si>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</si>
  <si>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</si>
  <si>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</si>
  <si>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</si>
  <si>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</si>
  <si>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</si>
  <si>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</si>
  <si>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</si>
  <si>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</si>
  <si>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</si>
  <si>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</si>
  <si>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</si>
  <si>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</si>
  <si>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</si>
  <si>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</si>
  <si>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</si>
  <si>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</si>
  <si>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</si>
  <si>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</si>
  <si>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</si>
  <si>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</si>
  <si>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</si>
  <si>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</si>
  <si>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</si>
  <si>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</si>
  <si>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</si>
  <si>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</si>
  <si>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</si>
  <si>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</si>
  <si>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</si>
  <si>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</si>
  <si>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SEGURIDAD PUBLICA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</si>
  <si>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</si>
  <si>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</si>
  <si>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</si>
  <si>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</si>
  <si>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</si>
  <si>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</si>
  <si>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</si>
  <si>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</si>
  <si>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</si>
  <si>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</si>
  <si>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</si>
  <si>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</si>
  <si>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</si>
  <si>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MONTES GAMBOA CECILIO</t>
  </si>
  <si>
    <t>VALLE BARRIENTOS HERIBERTO</t>
  </si>
  <si>
    <t>MORALES QUINTANAR JOSE LUIS</t>
  </si>
  <si>
    <t>HERNANDEZ GARCIA AGUSTIN</t>
  </si>
  <si>
    <t>ENC. UNIDAD DEPORTIVA</t>
  </si>
  <si>
    <t>AGENTE MUNCIPAL ESTANCITA</t>
  </si>
  <si>
    <t>VELADOR PLANTA</t>
  </si>
  <si>
    <t>DEPARTAMENTO DE CATASTRO</t>
  </si>
  <si>
    <t>AGENTE MUNCIPAL SANTIAGUITO</t>
  </si>
  <si>
    <t>AGENTE MUNCIPAL SAN PEDRO</t>
  </si>
  <si>
    <t>MERCADO OLVERA JOSE ANTONIO</t>
  </si>
  <si>
    <t>SALA DE REGIDORES</t>
  </si>
  <si>
    <t>UNIDAD DE TRANSPARENCIA</t>
  </si>
  <si>
    <t>TITULAR</t>
  </si>
  <si>
    <t>GOMEZ MEZA ANA NALLELI</t>
  </si>
  <si>
    <t>GARCIA CABRERA JOSE FABIAN</t>
  </si>
  <si>
    <t>RAMOS VELADOR LAZARO</t>
  </si>
  <si>
    <t>RAMIREZ MARTINEZ JOSE CARMEN</t>
  </si>
  <si>
    <t>COVARRUBIAS RIVERA ROMAN</t>
  </si>
  <si>
    <t>MERCADO PEREZ LUIS HUMBERTO</t>
  </si>
  <si>
    <t>GUERRERO GARICA RAFAEL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</si>
  <si>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</si>
  <si>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</si>
  <si>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</si>
  <si>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</si>
  <si>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</si>
  <si>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</si>
  <si>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</si>
  <si>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</si>
  <si>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</si>
  <si>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</si>
  <si>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</si>
  <si>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OSCAR MARTIN ZUÑIGA GARCIA</t>
  </si>
  <si>
    <t>ARTURO JONATHAN RAMIREZ DE LA ROSA</t>
  </si>
  <si>
    <t>PARAMEDICO P C</t>
  </si>
  <si>
    <t>HERNANDEZ BERNAL JUDITH TONANZI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</si>
  <si>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</si>
  <si>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</si>
  <si>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</si>
  <si>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</si>
  <si>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</si>
  <si>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</si>
  <si>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</si>
  <si>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AUXILIAR ADMINISTRATIVO</t>
  </si>
  <si>
    <t>RAMOS PEREZ HIPOLITO MARTIN</t>
  </si>
  <si>
    <t>RUVALCABA GARCIA HUMBERTO</t>
  </si>
  <si>
    <t xml:space="preserve">SECRETARIA GENERAL </t>
  </si>
  <si>
    <t>CONTRALOR</t>
  </si>
  <si>
    <t>MONTES PEREZ JULIA VERONICA</t>
  </si>
  <si>
    <t>Aguinaldo</t>
  </si>
  <si>
    <t>Prima</t>
  </si>
  <si>
    <t>Vacacional</t>
  </si>
  <si>
    <t>Percepción</t>
  </si>
  <si>
    <t>2 0 1 7</t>
  </si>
  <si>
    <t>TOTAL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</si>
  <si>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</si>
  <si>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</si>
  <si>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</si>
  <si>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</si>
  <si>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</si>
  <si>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</si>
  <si>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</si>
  <si>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</si>
  <si>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</si>
  <si>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</si>
  <si>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</si>
  <si>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</si>
  <si>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DIAS</t>
  </si>
  <si>
    <t>NOMBRE</t>
  </si>
  <si>
    <t>CARGO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</si>
  <si>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</si>
  <si>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</si>
  <si>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</si>
  <si>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</si>
  <si>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</si>
  <si>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</si>
  <si>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COMUNICACIÓN SOCIAL</t>
  </si>
  <si>
    <t>CATARINO VAZQUEZ JIMENEZ</t>
  </si>
  <si>
    <t>COMANDANTE OPERATIVO</t>
  </si>
  <si>
    <t>ENC. DE CATASTRO E IMPUESTO PREDIAL</t>
  </si>
  <si>
    <t>DESARROLLO RURAL Y ECONOMICO</t>
  </si>
  <si>
    <t>DIR. DE DESARROLLO RURAL Y ECONOMICO</t>
  </si>
  <si>
    <t>AUX. EN TRANSPARENCIA</t>
  </si>
  <si>
    <t>OFICIALIA MAYOR ADMINISTRATIVA</t>
  </si>
  <si>
    <t>DEPARTAMENTO DE SERVICIOS PUBLICOS</t>
  </si>
  <si>
    <t>GONZALEZ TRIGUEROS JOSE DE JESUS</t>
  </si>
  <si>
    <t>DIR. JURIDICO</t>
  </si>
  <si>
    <t>CONTRALORIA</t>
  </si>
  <si>
    <t>AUX DE OBRAS PUBLICAS</t>
  </si>
  <si>
    <t>ANA BERTHA RODRIGUEZ GONZALEZ</t>
  </si>
  <si>
    <t>DIAS TRAB</t>
  </si>
  <si>
    <t>AUX. DE REGISTRO CIVIL</t>
  </si>
  <si>
    <t>FLORES LIERA ALFREDO</t>
  </si>
  <si>
    <t>GUTIERREZ SAHAVEDRA J. SANTOS</t>
  </si>
  <si>
    <t>ARCHIVO MUNICIPAL</t>
  </si>
  <si>
    <t>ENC. DE ARCHIVO MPAL</t>
  </si>
  <si>
    <t>DEPARTAMENTO DE DEPORTE</t>
  </si>
  <si>
    <t>PROMOTOR DEL DEPORTE</t>
  </si>
  <si>
    <t>UNIDAD BASICA DE REHABILITACION</t>
  </si>
  <si>
    <t>ENC. DE UBR</t>
  </si>
  <si>
    <t>SERVICIOS PUBLICOS MUNICIPALES</t>
  </si>
  <si>
    <t>COVARRUBIAS RANGEL JOSE MARIA</t>
  </si>
  <si>
    <t>PROTECCION CIVIL</t>
  </si>
  <si>
    <t>OFICIALIA MAYOR DE PADRON Y LICENCIAS</t>
  </si>
  <si>
    <t>OFICIAL MAYOR DE PADRON Y LICENCIAS</t>
  </si>
  <si>
    <t>ENC. BOMBA</t>
  </si>
  <si>
    <t>COVARRUBIAS RANGEL JAVIER ROMAN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</si>
  <si>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</si>
  <si>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</si>
  <si>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</si>
  <si>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</si>
  <si>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</si>
  <si>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</si>
  <si>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</si>
  <si>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</si>
  <si>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</si>
  <si>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</si>
  <si>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</si>
  <si>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</si>
  <si>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</si>
  <si>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</si>
  <si>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</si>
  <si>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</si>
  <si>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</si>
  <si>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</si>
  <si>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</si>
  <si>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</si>
  <si>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</si>
  <si>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</si>
  <si>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</si>
  <si>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</si>
  <si>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</si>
  <si>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</si>
  <si>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</si>
  <si>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</si>
  <si>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</si>
  <si>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FLORES CORONA ROBERTO CARLOS</t>
  </si>
  <si>
    <t>LOPEZ GARCIA IVAN</t>
  </si>
  <si>
    <t>ECA</t>
  </si>
  <si>
    <t>BECJ990411HJCNRN04</t>
  </si>
  <si>
    <t>ROUA020501HJCSLNA6</t>
  </si>
  <si>
    <t>AUJG951017HJCNMB06</t>
  </si>
  <si>
    <t>Publicadas en el D. O. F. el dia 11 de Enero de 2021</t>
  </si>
  <si>
    <t xml:space="preserve">               EJERCICIO 2021</t>
  </si>
  <si>
    <t>T ARIFA MENSUAL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</si>
  <si>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</si>
  <si>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COLI020224MJCRPSA7</t>
  </si>
  <si>
    <t>OFICIAL MAYOR ADMINISTRATIVO</t>
  </si>
  <si>
    <t>SECRETARIA PARTICULAR</t>
  </si>
  <si>
    <t>ENC. DE BOMBA SAN PEDRO</t>
  </si>
  <si>
    <t>SANTIAGO ROSAS MARTIN</t>
  </si>
  <si>
    <t>ENC. DE BOMBA Y FONTANERO SAN PEDRO</t>
  </si>
  <si>
    <t>ANGELA DE LA TRINIDAD RUIZ FLORES</t>
  </si>
  <si>
    <t>AUXILIAR</t>
  </si>
  <si>
    <t>NUVW940670MJCXRN06</t>
  </si>
  <si>
    <t>JEFA DE GABINETE</t>
  </si>
  <si>
    <t>ANGELICA RUVALCABA PLASCENCIA</t>
  </si>
  <si>
    <t>ABEL SANCHEZ SANTIAGO</t>
  </si>
  <si>
    <t>ANDREA ALEJANDRA MIRAMONTES RODRIGUEZ</t>
  </si>
  <si>
    <t>FILEMON SANCHEZ CORDERO</t>
  </si>
  <si>
    <t>MARIA GUADALUPE DURAN NUÑO</t>
  </si>
  <si>
    <t>TIARE NISHIKI MONTES IÑIGUEZ</t>
  </si>
  <si>
    <t>CRISPINA CONTRERAS MARTINEZ</t>
  </si>
  <si>
    <t>C. OCTAVIO GONZALEZ RUIZ</t>
  </si>
  <si>
    <t xml:space="preserve">L.A GUILLERMO YONATAN  VILLEGAS CASILLAS </t>
  </si>
  <si>
    <t>ENCARGADO DE HACIENDA PUBLICA MUNICIPAL</t>
  </si>
  <si>
    <t>OCTAVIO GONZALEZ RUIZ</t>
  </si>
  <si>
    <t>PRESIDENTE</t>
  </si>
  <si>
    <t>FERMIN HERNANDEZ RAMIREZ</t>
  </si>
  <si>
    <t>VERONICA LUCINA MONTES DAMIAN</t>
  </si>
  <si>
    <t>LIDIA ALEJANDRA GUTIEREZ PONCE</t>
  </si>
  <si>
    <t>JEFATURA DE GABINETE</t>
  </si>
  <si>
    <t>MARIA DE JESUS GONZALEZ MONTES</t>
  </si>
  <si>
    <t>JUAN DAVID VELADOR HERNANDEZ</t>
  </si>
  <si>
    <t>SILVESTRE CISNEROS GUZMAN</t>
  </si>
  <si>
    <t>RAUL VELADOR MARTINEZ</t>
  </si>
  <si>
    <t>MARIA DE LOURDES GONZALEZ RIVERA</t>
  </si>
  <si>
    <t>JOSE LUIS CARRILLO MONTES</t>
  </si>
  <si>
    <t>MARIA ORTIZ AVILA</t>
  </si>
  <si>
    <t>PAULINA MICHEL MARTINEZ AVALOS</t>
  </si>
  <si>
    <t xml:space="preserve">JUEZ MUNICIPAL </t>
  </si>
  <si>
    <t>VICTOR RODRIGUEZ CORONA</t>
  </si>
  <si>
    <t>BEATRIZ GUADALUPE FLORES SALDAÑA</t>
  </si>
  <si>
    <t>JABAL JAFET CARDONA GONZALEZ</t>
  </si>
  <si>
    <t>JOSE RAFAEL FLORES GOMEZ</t>
  </si>
  <si>
    <t>INSTANCIA DE LA MUJER</t>
  </si>
  <si>
    <t>AZUCENA MONTAÑO SILVA</t>
  </si>
  <si>
    <t>EDUCACION</t>
  </si>
  <si>
    <t>DANIA FABIOLA CELAYA GARCIA</t>
  </si>
  <si>
    <t>DIR. DE EDUCACION</t>
  </si>
  <si>
    <t xml:space="preserve">CRISTIAN URIEL MEZA MORENO </t>
  </si>
  <si>
    <t>DESARROLLO SOCIAL</t>
  </si>
  <si>
    <t>RAYMUNDO AVILA MATA</t>
  </si>
  <si>
    <t>DIR. DESARROLLO SOCIAL</t>
  </si>
  <si>
    <t>CARMEN JULIANA HERNADEZ DIAZ</t>
  </si>
  <si>
    <t>TERESA DEL N. JESUS RITO DIAZ</t>
  </si>
  <si>
    <t>ISRAEL REYNOSO RUVALCABA</t>
  </si>
  <si>
    <t>TANIA SINAI SANDOVAL VELADOR</t>
  </si>
  <si>
    <t>A TODA MAQUINA</t>
  </si>
  <si>
    <t>HECTOR FLORES RODRIGUEZ</t>
  </si>
  <si>
    <t>IELTZY ANDREA SANCHEZ RAMIREZ</t>
  </si>
  <si>
    <t>DAVID ERNESTO VELADOR LUNA</t>
  </si>
  <si>
    <t>DIR. UNUDAD DE TRANSPARENCIA</t>
  </si>
  <si>
    <t>PROTECCION DE DATOS PERSANALES</t>
  </si>
  <si>
    <t>GERARDO LOPEZ GOMEZ</t>
  </si>
  <si>
    <t>DIR. COMUNICACIÓN SOCIAL</t>
  </si>
  <si>
    <t>ANTONIO GUADALUPE DOMINGUEZ PLASCENCIA</t>
  </si>
  <si>
    <t>PAULINO RAMIREZ MONTES</t>
  </si>
  <si>
    <t>MARIA ELENA PAREDES SANTOS</t>
  </si>
  <si>
    <t>CESAR ALEJANDRO HERNANDEZ BERNAL</t>
  </si>
  <si>
    <t>DIR. DE CATASTRO</t>
  </si>
  <si>
    <t>FELIPE DE JESUS FIGUEROA</t>
  </si>
  <si>
    <t>DIR. DE REGISTRO CIVIL</t>
  </si>
  <si>
    <t>GUILLERMO YONATAN VILLEGAS CASILLAS</t>
  </si>
  <si>
    <t>DIR. ECA</t>
  </si>
  <si>
    <t>ECOLOGIA Y MEDIO AMBIENTE</t>
  </si>
  <si>
    <t>ELI OSCAR RUIZ MONTES</t>
  </si>
  <si>
    <t>DIR. ECOLOGIA Y MEDIO AMBIENTE</t>
  </si>
  <si>
    <t>KIMBERLY ALEJANDRA HERNANDEZ RAMIREZ</t>
  </si>
  <si>
    <t>RECEPCIONISTA</t>
  </si>
  <si>
    <t>TERESA VILLARREAL SALAS</t>
  </si>
  <si>
    <t>SERVICIOS MEDICOS MUNICIPALES</t>
  </si>
  <si>
    <t>JULIA MONTES MACIAS</t>
  </si>
  <si>
    <t>DIRECTORA DE SERVICIOS MEDICOS MUNICIPALES</t>
  </si>
  <si>
    <t>OFELIA VARGAS GARCIA</t>
  </si>
  <si>
    <t>FRANCISCO GARCIA NAVARRO</t>
  </si>
  <si>
    <t>LUIS FERNANDO MADRID CARRILLO</t>
  </si>
  <si>
    <t>DIR. PROTECCION CIVIL Y BOMBEROS</t>
  </si>
  <si>
    <t>SUBDIRECTOR</t>
  </si>
  <si>
    <t>JOSE DE JESUS MEZA JUAREZ</t>
  </si>
  <si>
    <t>MARIA BEATRIZ GARCIA RAMIREZ</t>
  </si>
  <si>
    <t>CUAUHTEMOC DOMINGUEZ FARIAS</t>
  </si>
  <si>
    <t>DIRECCION DE TURISMO</t>
  </si>
  <si>
    <t>EDITH ROSARIO MARTINEZ AVALOS</t>
  </si>
  <si>
    <t>CRISTIAN OMAR RAMIREZ VELADOR</t>
  </si>
  <si>
    <t>DIR. DE TURISMO</t>
  </si>
  <si>
    <t>SISTEMAS</t>
  </si>
  <si>
    <t>CESAR ANDRES IBARRA FLORES</t>
  </si>
  <si>
    <t>XOCHITL YADIRA CASTAÑEDA ARANDAS</t>
  </si>
  <si>
    <t>FEDERICO RAMOS NOLASCO</t>
  </si>
  <si>
    <t>JUAN MEZA RAMIREZ</t>
  </si>
  <si>
    <t>JOSE AVILA CARBAJAL</t>
  </si>
  <si>
    <t>JOSE GUADALUPE SANTIAGO FLORES VELAZQUEZ</t>
  </si>
  <si>
    <t>DIR. DE SERVICIOS PUBLICOS</t>
  </si>
  <si>
    <t>JOSE LUIS RAMIREZ MEZA</t>
  </si>
  <si>
    <t>GREGORIO PONCE MONTES</t>
  </si>
  <si>
    <t>VELADOR DE MERCADO</t>
  </si>
  <si>
    <t>DAVID RUIZ RIVERA</t>
  </si>
  <si>
    <t>VICTORINO ORENDAIN RUIZ</t>
  </si>
  <si>
    <t>OPERADOR DE RETROEXCAVADORA</t>
  </si>
  <si>
    <t xml:space="preserve">RASTRO MUNICIPAL </t>
  </si>
  <si>
    <t>REYES IGNACIO TOLEDO GUTIERREZ</t>
  </si>
  <si>
    <t>GUARDA RASTRO</t>
  </si>
  <si>
    <t>COMISARIO</t>
  </si>
  <si>
    <t>SUBCOMISARIO OPERATIVO</t>
  </si>
  <si>
    <t>SUBCOMISARIO ADMINISTRATIVO</t>
  </si>
  <si>
    <t>ESTELA GONZALEZ GARCIA</t>
  </si>
  <si>
    <t>DIRECCION DE CULTURA</t>
  </si>
  <si>
    <t>DIRECCION DE  CULTURA</t>
  </si>
  <si>
    <t>CRONISTA MUNICIPAL</t>
  </si>
  <si>
    <t>DIRECCION JURIDICA</t>
  </si>
  <si>
    <t>DIR. DE INSTANCIA DE LA MUJER</t>
  </si>
  <si>
    <t>AUX. DE SERVICIOS MEDICOS</t>
  </si>
  <si>
    <t>MARCO ANTONIO MEZA MEZA</t>
  </si>
  <si>
    <t>JAIRO ILDEFONSO NAVARRO MONTES</t>
  </si>
  <si>
    <t>SARA NOEMI LOPEZ RUVALCABA</t>
  </si>
  <si>
    <t>DIR. DE AGUA POTABLE</t>
  </si>
  <si>
    <t>ROGUEL CHAVEZ HERNANDEZ</t>
  </si>
  <si>
    <t xml:space="preserve">DESARROLLO SOCIAL </t>
  </si>
  <si>
    <t>PREVENCION SOCIAL</t>
  </si>
  <si>
    <t>ENC. DE PREVENCION SOCIAL</t>
  </si>
  <si>
    <t>ASEADOR PLAZA DE LA ESTANCITA</t>
  </si>
  <si>
    <t>ASEADOR PLAZA DE SAN PEDRO</t>
  </si>
  <si>
    <t>ASEADOR PLAZA DE EL TRAPICHE</t>
  </si>
  <si>
    <t>ASEADOR PLAZA DE PROVIDENCIA</t>
  </si>
  <si>
    <t>ASEADOR PLAZA DE ESTANCIA DE AYLLONES</t>
  </si>
  <si>
    <t>VERONICA FLORES VELAZQUEZ</t>
  </si>
  <si>
    <t>INTENDENTE ESCUELA ESTANCITA</t>
  </si>
  <si>
    <t>ASEADOR PLAZA DE SANTIAGUITO</t>
  </si>
  <si>
    <t>C OCTAVIO GONZALEZ RUIZ</t>
  </si>
  <si>
    <t>L.A GUILLERMO YONATAN VILLEGAS CASILLAS</t>
  </si>
  <si>
    <t>C.OCTAVIO GONZALEZ RUIZ</t>
  </si>
  <si>
    <t>C. OCTAVIO GONZALEZ  RUIZ</t>
  </si>
  <si>
    <t>L.A. GUILLERMO YONATAN VILLEGAS CASILLAS</t>
  </si>
  <si>
    <t>C. OCTAVIO GONZALEZ RODRIGUEZ</t>
  </si>
  <si>
    <t>L.A. GULLERMO YONATAN VILLEGAS CASILLAS</t>
  </si>
  <si>
    <t>ENCARGADO DE MAQUINARIA</t>
  </si>
  <si>
    <t>NORMA GUADALUPE CARRILLO DONATO</t>
  </si>
  <si>
    <t>RICARDO RIVERA CONCHO</t>
  </si>
  <si>
    <t xml:space="preserve">ENC. DE PARADERO </t>
  </si>
  <si>
    <t>GABRIELA SEGOVIA ESPINOZA</t>
  </si>
  <si>
    <t>HILARIO VILLEGAS VENTURA</t>
  </si>
  <si>
    <t>OSCAR GARCIA VENTURA</t>
  </si>
  <si>
    <t>FABIAN MEDINA GUERRERO</t>
  </si>
  <si>
    <t>LOPEZ SOLORZANO LUZ ELBA</t>
  </si>
  <si>
    <t>FRANCISCO HILARIO BERNAL VILLEGAS</t>
  </si>
  <si>
    <t>ROCIO ANGELICA NAVARRO AVILA</t>
  </si>
  <si>
    <t>VICTORIA  MONTSERRAT VALENCIA MONTES</t>
  </si>
  <si>
    <t>RAMONA PRIETO SAAVEDRA</t>
  </si>
  <si>
    <t>AUXILIAR  DE CULTURA</t>
  </si>
  <si>
    <t>JOSE RAMON LOPEZ GOMEZ</t>
  </si>
  <si>
    <t>OPERADOR DE PIPA</t>
  </si>
  <si>
    <t>CESAR RAFAEL VARGAS AVILA</t>
  </si>
  <si>
    <t>VELADOR PLANTA TRATADORA</t>
  </si>
  <si>
    <t>GILBERTO CARRILLO CORONA</t>
  </si>
  <si>
    <t>FERNANDA LIVIER MONTES GONZALEZ</t>
  </si>
  <si>
    <t>VANESSA ALEJANDRA AVILA RUIZ</t>
  </si>
  <si>
    <t>JAVIER OSVALDO GOMEZ MEZA</t>
  </si>
  <si>
    <t>AUXILIAR SE SERVICIOS</t>
  </si>
  <si>
    <t>JOSE CAMPOS GONZALEZ</t>
  </si>
  <si>
    <t>OPERADOR DE MOTOCONFORMADORA</t>
  </si>
  <si>
    <t>SECRETARIA DE JEFA DE GABINETE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</si>
</sst>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5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10"/>
      <color rgb="FFFF0000"/>
      <name val="Arial"/>
      <family val="2"/>
    </font>
    <font>
      <sz val="10"/>
      <color theme="0" tint="-4.9989318521683403E-2"/>
      <name val="Arial"/>
      <family val="2"/>
    </font>
    <font>
      <b/>
      <sz val="18"/>
      <name val="Arial"/>
      <family val="2"/>
    </font>
    <font>
      <b/>
      <sz val="14"/>
      <name val="Arial Black"/>
      <family val="2"/>
    </font>
    <font>
      <b/>
      <sz val="12"/>
      <name val="Arial Black"/>
      <family val="2"/>
    </font>
    <font>
      <b/>
      <sz val="16"/>
      <name val="Verdana"/>
      <family val="2"/>
    </font>
    <font>
      <b/>
      <sz val="17"/>
      <name val="Verdana"/>
      <family val="2"/>
    </font>
    <font>
      <b/>
      <sz val="16"/>
      <name val="Arial Black"/>
      <family val="2"/>
    </font>
    <font>
      <b/>
      <sz val="20"/>
      <name val="Verdana"/>
      <family val="2"/>
    </font>
    <font>
      <b/>
      <sz val="20"/>
      <name val="Arial"/>
      <family val="2"/>
    </font>
    <font>
      <sz val="2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0" fillId="0" borderId="0"/>
    <xf numFmtId="164" fontId="1" fillId="0" borderId="0" applyFont="0" applyFill="0" applyBorder="0" applyAlignment="0" applyProtection="0"/>
  </cellStyleXfs>
  <cellXfs count="493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3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Fill="1" applyBorder="1" applyProtection="1"/>
    <xf numFmtId="0" fontId="1" fillId="3" borderId="9" xfId="0" applyFont="1" applyFill="1" applyBorder="1" applyAlignment="1" applyProtection="1">
      <alignment horizontal="left"/>
      <protection locked="0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3" borderId="0" xfId="0" applyFont="1" applyFill="1" applyBorder="1" applyAlignment="1" applyProtection="1">
      <alignment horizontal="left"/>
      <protection locked="0"/>
    </xf>
    <xf numFmtId="43" fontId="1" fillId="3" borderId="0" xfId="2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168" fontId="6" fillId="4" borderId="1" xfId="2" applyNumberFormat="1" applyFont="1" applyFill="1" applyBorder="1" applyAlignment="1" applyProtection="1">
      <alignment horizontal="right"/>
      <protection hidden="1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0" fontId="15" fillId="0" borderId="7" xfId="0" applyFont="1" applyBorder="1" applyProtection="1"/>
    <xf numFmtId="168" fontId="17" fillId="0" borderId="2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10" xfId="0" applyFont="1" applyFill="1" applyBorder="1" applyAlignment="1" applyProtection="1">
      <alignment horizontal="center"/>
    </xf>
    <xf numFmtId="0" fontId="22" fillId="0" borderId="34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0" fontId="2" fillId="0" borderId="0" xfId="0" applyFont="1" applyFill="1" applyProtection="1">
      <protection hidden="1"/>
    </xf>
    <xf numFmtId="0" fontId="0" fillId="0" borderId="0" xfId="0" applyBorder="1"/>
    <xf numFmtId="0" fontId="3" fillId="0" borderId="42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3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5" xfId="2" applyNumberFormat="1" applyFont="1" applyBorder="1" applyAlignment="1" applyProtection="1">
      <alignment horizontal="right"/>
      <protection hidden="1"/>
    </xf>
    <xf numFmtId="0" fontId="17" fillId="0" borderId="44" xfId="0" applyFont="1" applyBorder="1" applyAlignment="1" applyProtection="1">
      <alignment horizontal="left"/>
      <protection locked="0"/>
    </xf>
    <xf numFmtId="0" fontId="17" fillId="0" borderId="45" xfId="0" applyFont="1" applyBorder="1" applyProtection="1">
      <protection hidden="1"/>
    </xf>
    <xf numFmtId="0" fontId="17" fillId="0" borderId="44" xfId="0" applyFont="1" applyBorder="1" applyProtection="1">
      <protection hidden="1"/>
    </xf>
    <xf numFmtId="167" fontId="30" fillId="0" borderId="0" xfId="5" applyProtection="1"/>
    <xf numFmtId="4" fontId="1" fillId="0" borderId="0" xfId="5" applyNumberFormat="1" applyFont="1" applyProtection="1"/>
    <xf numFmtId="4" fontId="21" fillId="6" borderId="0" xfId="5" applyNumberFormat="1" applyFont="1" applyFill="1" applyAlignment="1" applyProtection="1">
      <alignment horizontal="centerContinuous"/>
    </xf>
    <xf numFmtId="4" fontId="1" fillId="6" borderId="0" xfId="5" applyNumberFormat="1" applyFont="1" applyFill="1" applyAlignment="1" applyProtection="1">
      <alignment horizontal="centerContinuous"/>
    </xf>
    <xf numFmtId="4" fontId="19" fillId="6" borderId="0" xfId="5" applyNumberFormat="1" applyFont="1" applyFill="1" applyAlignment="1" applyProtection="1">
      <alignment horizontal="centerContinuous"/>
    </xf>
    <xf numFmtId="4" fontId="13" fillId="6" borderId="0" xfId="5" applyNumberFormat="1" applyFont="1" applyFill="1" applyAlignment="1" applyProtection="1">
      <alignment horizontal="centerContinuous"/>
    </xf>
    <xf numFmtId="167" fontId="30" fillId="6" borderId="0" xfId="5" applyFill="1" applyAlignment="1" applyProtection="1">
      <alignment horizontal="centerContinuous"/>
    </xf>
    <xf numFmtId="49" fontId="31" fillId="6" borderId="0" xfId="5" applyNumberFormat="1" applyFont="1" applyFill="1" applyAlignment="1" applyProtection="1">
      <alignment horizontal="centerContinuous"/>
    </xf>
    <xf numFmtId="167" fontId="30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5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4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0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0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48" xfId="6" applyNumberFormat="1" applyFont="1" applyBorder="1" applyProtection="1"/>
    <xf numFmtId="168" fontId="6" fillId="0" borderId="49" xfId="6" applyNumberFormat="1" applyFont="1" applyBorder="1" applyProtection="1"/>
    <xf numFmtId="167" fontId="34" fillId="7" borderId="50" xfId="5" applyFont="1" applyFill="1" applyBorder="1" applyProtection="1"/>
    <xf numFmtId="43" fontId="34" fillId="7" borderId="51" xfId="2" applyFont="1" applyFill="1" applyBorder="1" applyProtection="1"/>
    <xf numFmtId="0" fontId="35" fillId="0" borderId="0" xfId="0" applyFont="1" applyProtection="1"/>
    <xf numFmtId="4" fontId="13" fillId="8" borderId="0" xfId="5" applyNumberFormat="1" applyFont="1" applyFill="1" applyProtection="1"/>
    <xf numFmtId="4" fontId="1" fillId="8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3" fontId="0" fillId="0" borderId="6" xfId="2" applyFont="1" applyBorder="1" applyProtection="1"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3" fontId="10" fillId="2" borderId="0" xfId="2" applyFont="1" applyFill="1" applyProtection="1"/>
    <xf numFmtId="43" fontId="14" fillId="0" borderId="0" xfId="2" applyFont="1" applyFill="1" applyBorder="1" applyAlignment="1" applyProtection="1">
      <alignment horizontal="right"/>
      <protection hidden="1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168" fontId="17" fillId="0" borderId="18" xfId="2" applyNumberFormat="1" applyFont="1" applyFill="1" applyBorder="1" applyAlignment="1" applyProtection="1">
      <alignment horizontal="right"/>
      <protection hidden="1"/>
    </xf>
    <xf numFmtId="0" fontId="0" fillId="0" borderId="23" xfId="0" applyBorder="1"/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167" fontId="19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168" fontId="39" fillId="0" borderId="0" xfId="0" applyNumberFormat="1" applyFont="1" applyProtection="1">
      <protection hidden="1"/>
    </xf>
    <xf numFmtId="43" fontId="39" fillId="0" borderId="0" xfId="2" applyFont="1" applyProtection="1">
      <protection hidden="1"/>
    </xf>
    <xf numFmtId="0" fontId="39" fillId="0" borderId="0" xfId="0" applyFont="1" applyProtection="1">
      <protection hidden="1"/>
    </xf>
    <xf numFmtId="168" fontId="40" fillId="9" borderId="0" xfId="0" applyNumberFormat="1" applyFont="1" applyFill="1" applyProtection="1">
      <protection hidden="1"/>
    </xf>
    <xf numFmtId="43" fontId="40" fillId="9" borderId="0" xfId="2" applyFont="1" applyFill="1" applyProtection="1"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14" fillId="0" borderId="33" xfId="0" applyFont="1" applyFill="1" applyBorder="1" applyAlignment="1" applyProtection="1">
      <alignment horizontal="center"/>
      <protection locked="0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0" fontId="3" fillId="0" borderId="3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43" fontId="0" fillId="0" borderId="0" xfId="2" applyFont="1" applyFill="1" applyProtection="1">
      <protection hidden="1"/>
    </xf>
    <xf numFmtId="43" fontId="0" fillId="0" borderId="0" xfId="0" applyNumberFormat="1" applyFill="1" applyProtection="1">
      <protection hidden="1"/>
    </xf>
    <xf numFmtId="0" fontId="14" fillId="0" borderId="31" xfId="0" applyFont="1" applyFill="1" applyBorder="1" applyAlignment="1" applyProtection="1">
      <alignment horizontal="center"/>
      <protection locked="0"/>
    </xf>
    <xf numFmtId="0" fontId="14" fillId="0" borderId="16" xfId="0" applyFont="1" applyFill="1" applyBorder="1" applyAlignment="1" applyProtection="1">
      <alignment horizontal="left" wrapText="1"/>
      <protection locked="0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Fill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6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7" fillId="10" borderId="3" xfId="0" applyFont="1" applyFill="1" applyBorder="1" applyProtection="1">
      <protection hidden="1"/>
    </xf>
    <xf numFmtId="0" fontId="3" fillId="10" borderId="3" xfId="0" applyFont="1" applyFill="1" applyBorder="1" applyAlignment="1" applyProtection="1">
      <alignment horizontal="center"/>
      <protection hidden="1"/>
    </xf>
    <xf numFmtId="0" fontId="3" fillId="10" borderId="5" xfId="0" applyFont="1" applyFill="1" applyBorder="1" applyAlignment="1" applyProtection="1">
      <alignment horizontal="center"/>
      <protection hidden="1"/>
    </xf>
    <xf numFmtId="0" fontId="0" fillId="10" borderId="0" xfId="0" applyFill="1" applyProtection="1">
      <protection hidden="1"/>
    </xf>
    <xf numFmtId="43" fontId="3" fillId="10" borderId="3" xfId="2" applyFont="1" applyFill="1" applyBorder="1" applyAlignment="1" applyProtection="1">
      <alignment horizontal="center"/>
      <protection hidden="1"/>
    </xf>
    <xf numFmtId="0" fontId="3" fillId="10" borderId="4" xfId="0" applyFont="1" applyFill="1" applyBorder="1" applyAlignment="1" applyProtection="1">
      <alignment horizontal="center"/>
      <protection hidden="1"/>
    </xf>
    <xf numFmtId="0" fontId="3" fillId="10" borderId="13" xfId="0" applyFont="1" applyFill="1" applyBorder="1" applyAlignment="1" applyProtection="1">
      <alignment horizontal="center"/>
      <protection hidden="1"/>
    </xf>
    <xf numFmtId="0" fontId="6" fillId="10" borderId="4" xfId="0" applyFont="1" applyFill="1" applyBorder="1" applyAlignment="1" applyProtection="1">
      <alignment horizontal="center"/>
      <protection hidden="1"/>
    </xf>
    <xf numFmtId="0" fontId="2" fillId="10" borderId="4" xfId="0" applyFont="1" applyFill="1" applyBorder="1" applyAlignment="1" applyProtection="1">
      <alignment horizontal="center"/>
      <protection hidden="1"/>
    </xf>
    <xf numFmtId="0" fontId="6" fillId="10" borderId="13" xfId="0" applyFont="1" applyFill="1" applyBorder="1" applyAlignment="1" applyProtection="1">
      <alignment horizontal="center"/>
      <protection hidden="1"/>
    </xf>
    <xf numFmtId="0" fontId="2" fillId="10" borderId="13" xfId="0" applyFont="1" applyFill="1" applyBorder="1" applyAlignment="1" applyProtection="1">
      <alignment horizontal="center"/>
      <protection hidden="1"/>
    </xf>
    <xf numFmtId="0" fontId="7" fillId="10" borderId="4" xfId="0" applyFont="1" applyFill="1" applyBorder="1" applyProtection="1">
      <protection hidden="1"/>
    </xf>
    <xf numFmtId="0" fontId="3" fillId="10" borderId="27" xfId="0" applyFont="1" applyFill="1" applyBorder="1" applyAlignment="1" applyProtection="1">
      <alignment horizontal="center"/>
      <protection hidden="1"/>
    </xf>
    <xf numFmtId="43" fontId="3" fillId="10" borderId="4" xfId="2" applyFont="1" applyFill="1" applyBorder="1" applyAlignment="1" applyProtection="1">
      <alignment horizontal="center" wrapText="1"/>
      <protection hidden="1"/>
    </xf>
    <xf numFmtId="43" fontId="3" fillId="10" borderId="3" xfId="2" applyFont="1" applyFill="1" applyBorder="1" applyAlignment="1" applyProtection="1">
      <alignment horizontal="center" wrapText="1"/>
      <protection hidden="1"/>
    </xf>
    <xf numFmtId="43" fontId="3" fillId="10" borderId="13" xfId="2" applyFont="1" applyFill="1" applyBorder="1" applyAlignment="1" applyProtection="1">
      <alignment horizontal="center"/>
      <protection hidden="1"/>
    </xf>
    <xf numFmtId="0" fontId="6" fillId="10" borderId="3" xfId="0" applyFont="1" applyFill="1" applyBorder="1" applyAlignment="1" applyProtection="1">
      <alignment horizontal="center"/>
      <protection hidden="1"/>
    </xf>
    <xf numFmtId="168" fontId="13" fillId="10" borderId="1" xfId="2" applyNumberFormat="1" applyFont="1" applyFill="1" applyBorder="1" applyAlignment="1" applyProtection="1">
      <alignment horizontal="right"/>
      <protection hidden="1"/>
    </xf>
    <xf numFmtId="168" fontId="6" fillId="10" borderId="1" xfId="2" applyNumberFormat="1" applyFont="1" applyFill="1" applyBorder="1" applyAlignment="1" applyProtection="1">
      <alignment horizontal="right"/>
      <protection hidden="1"/>
    </xf>
    <xf numFmtId="0" fontId="7" fillId="10" borderId="3" xfId="0" applyFont="1" applyFill="1" applyBorder="1" applyProtection="1"/>
    <xf numFmtId="0" fontId="3" fillId="10" borderId="3" xfId="0" applyFont="1" applyFill="1" applyBorder="1" applyAlignment="1" applyProtection="1">
      <alignment horizontal="center"/>
    </xf>
    <xf numFmtId="43" fontId="3" fillId="10" borderId="0" xfId="2" applyFont="1" applyFill="1" applyBorder="1" applyAlignment="1" applyProtection="1">
      <alignment horizontal="center"/>
    </xf>
    <xf numFmtId="0" fontId="3" fillId="10" borderId="0" xfId="0" applyFont="1" applyFill="1" applyBorder="1" applyAlignment="1" applyProtection="1">
      <alignment horizontal="center"/>
    </xf>
    <xf numFmtId="0" fontId="3" fillId="10" borderId="5" xfId="0" applyFont="1" applyFill="1" applyBorder="1" applyAlignment="1" applyProtection="1">
      <alignment horizontal="center"/>
    </xf>
    <xf numFmtId="43" fontId="3" fillId="10" borderId="3" xfId="2" applyFont="1" applyFill="1" applyBorder="1" applyAlignment="1" applyProtection="1">
      <alignment horizontal="center"/>
    </xf>
    <xf numFmtId="0" fontId="3" fillId="10" borderId="4" xfId="0" applyFont="1" applyFill="1" applyBorder="1" applyAlignment="1" applyProtection="1">
      <alignment horizontal="center"/>
    </xf>
    <xf numFmtId="43" fontId="3" fillId="10" borderId="4" xfId="2" applyFont="1" applyFill="1" applyBorder="1" applyAlignment="1" applyProtection="1">
      <alignment horizontal="center"/>
    </xf>
    <xf numFmtId="0" fontId="3" fillId="10" borderId="13" xfId="0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10" borderId="13" xfId="0" applyFont="1" applyFill="1" applyBorder="1" applyAlignment="1" applyProtection="1">
      <alignment horizontal="center"/>
    </xf>
    <xf numFmtId="43" fontId="3" fillId="10" borderId="6" xfId="2" applyFont="1" applyFill="1" applyBorder="1" applyAlignment="1" applyProtection="1">
      <alignment horizontal="center"/>
    </xf>
    <xf numFmtId="0" fontId="3" fillId="10" borderId="6" xfId="0" applyFont="1" applyFill="1" applyBorder="1" applyAlignment="1" applyProtection="1">
      <alignment horizontal="center"/>
    </xf>
    <xf numFmtId="0" fontId="7" fillId="11" borderId="3" xfId="0" applyFont="1" applyFill="1" applyBorder="1" applyProtection="1"/>
    <xf numFmtId="0" fontId="3" fillId="11" borderId="4" xfId="0" applyFont="1" applyFill="1" applyBorder="1" applyAlignment="1" applyProtection="1">
      <alignment horizontal="center"/>
    </xf>
    <xf numFmtId="43" fontId="3" fillId="11" borderId="0" xfId="2" applyFont="1" applyFill="1" applyBorder="1" applyAlignment="1" applyProtection="1">
      <alignment horizontal="center"/>
    </xf>
    <xf numFmtId="0" fontId="3" fillId="11" borderId="0" xfId="0" applyFont="1" applyFill="1" applyBorder="1" applyAlignment="1" applyProtection="1">
      <alignment horizontal="center"/>
    </xf>
    <xf numFmtId="0" fontId="3" fillId="11" borderId="3" xfId="0" applyFont="1" applyFill="1" applyBorder="1" applyAlignment="1" applyProtection="1">
      <alignment horizontal="center"/>
    </xf>
    <xf numFmtId="0" fontId="3" fillId="11" borderId="5" xfId="0" applyFont="1" applyFill="1" applyBorder="1" applyAlignment="1" applyProtection="1">
      <alignment horizontal="center"/>
    </xf>
    <xf numFmtId="43" fontId="3" fillId="11" borderId="3" xfId="2" applyFont="1" applyFill="1" applyBorder="1" applyAlignment="1" applyProtection="1">
      <alignment horizontal="center"/>
    </xf>
    <xf numFmtId="43" fontId="3" fillId="11" borderId="4" xfId="2" applyFont="1" applyFill="1" applyBorder="1" applyAlignment="1" applyProtection="1">
      <alignment horizontal="center"/>
    </xf>
    <xf numFmtId="0" fontId="3" fillId="11" borderId="13" xfId="0" applyFont="1" applyFill="1" applyBorder="1" applyAlignment="1" applyProtection="1">
      <alignment horizontal="center"/>
    </xf>
    <xf numFmtId="0" fontId="6" fillId="11" borderId="4" xfId="0" applyFont="1" applyFill="1" applyBorder="1" applyAlignment="1" applyProtection="1">
      <alignment horizontal="center"/>
    </xf>
    <xf numFmtId="43" fontId="3" fillId="11" borderId="6" xfId="2" applyFont="1" applyFill="1" applyBorder="1" applyAlignment="1" applyProtection="1">
      <alignment horizontal="center"/>
    </xf>
    <xf numFmtId="0" fontId="3" fillId="11" borderId="6" xfId="0" applyFont="1" applyFill="1" applyBorder="1" applyAlignment="1" applyProtection="1">
      <alignment horizontal="center"/>
    </xf>
    <xf numFmtId="43" fontId="1" fillId="0" borderId="0" xfId="0" applyNumberFormat="1" applyFont="1" applyProtection="1"/>
    <xf numFmtId="0" fontId="11" fillId="10" borderId="4" xfId="0" applyFont="1" applyFill="1" applyBorder="1" applyProtection="1">
      <protection hidden="1"/>
    </xf>
    <xf numFmtId="0" fontId="11" fillId="10" borderId="6" xfId="0" applyFont="1" applyFill="1" applyBorder="1" applyProtection="1">
      <protection hidden="1"/>
    </xf>
    <xf numFmtId="0" fontId="12" fillId="10" borderId="26" xfId="0" applyFont="1" applyFill="1" applyBorder="1" applyAlignment="1" applyProtection="1">
      <alignment horizontal="center"/>
      <protection hidden="1"/>
    </xf>
    <xf numFmtId="0" fontId="12" fillId="10" borderId="3" xfId="0" applyFont="1" applyFill="1" applyBorder="1" applyAlignment="1" applyProtection="1">
      <alignment horizontal="center"/>
      <protection hidden="1"/>
    </xf>
    <xf numFmtId="0" fontId="12" fillId="10" borderId="4" xfId="0" applyFont="1" applyFill="1" applyBorder="1" applyAlignment="1" applyProtection="1">
      <alignment horizontal="center"/>
      <protection hidden="1"/>
    </xf>
    <xf numFmtId="0" fontId="12" fillId="10" borderId="13" xfId="0" applyFont="1" applyFill="1" applyBorder="1" applyAlignment="1" applyProtection="1">
      <alignment horizontal="center"/>
      <protection hidden="1"/>
    </xf>
    <xf numFmtId="0" fontId="12" fillId="10" borderId="3" xfId="0" applyFont="1" applyFill="1" applyBorder="1" applyAlignment="1" applyProtection="1">
      <alignment horizontal="center" wrapText="1"/>
      <protection hidden="1"/>
    </xf>
    <xf numFmtId="0" fontId="19" fillId="10" borderId="13" xfId="0" applyFont="1" applyFill="1" applyBorder="1" applyAlignment="1" applyProtection="1">
      <alignment horizontal="left"/>
      <protection hidden="1"/>
    </xf>
    <xf numFmtId="168" fontId="2" fillId="0" borderId="52" xfId="2" applyNumberFormat="1" applyFont="1" applyBorder="1" applyAlignment="1" applyProtection="1">
      <alignment horizontal="right"/>
      <protection hidden="1"/>
    </xf>
    <xf numFmtId="168" fontId="26" fillId="10" borderId="25" xfId="2" applyNumberFormat="1" applyFont="1" applyFill="1" applyBorder="1" applyAlignment="1" applyProtection="1">
      <alignment horizontal="right"/>
      <protection hidden="1"/>
    </xf>
    <xf numFmtId="0" fontId="3" fillId="10" borderId="14" xfId="0" applyFont="1" applyFill="1" applyBorder="1" applyAlignment="1" applyProtection="1">
      <alignment horizontal="center"/>
    </xf>
    <xf numFmtId="0" fontId="23" fillId="10" borderId="13" xfId="0" applyFont="1" applyFill="1" applyBorder="1" applyAlignment="1" applyProtection="1">
      <alignment horizontal="center"/>
    </xf>
    <xf numFmtId="0" fontId="24" fillId="10" borderId="13" xfId="0" applyFont="1" applyFill="1" applyBorder="1" applyAlignment="1" applyProtection="1">
      <alignment horizontal="center"/>
    </xf>
    <xf numFmtId="0" fontId="24" fillId="10" borderId="26" xfId="0" applyFont="1" applyFill="1" applyBorder="1" applyAlignment="1" applyProtection="1">
      <alignment horizontal="center"/>
    </xf>
    <xf numFmtId="0" fontId="6" fillId="10" borderId="13" xfId="0" applyFont="1" applyFill="1" applyBorder="1" applyAlignment="1" applyProtection="1">
      <alignment horizontal="left"/>
      <protection locked="0"/>
    </xf>
    <xf numFmtId="0" fontId="6" fillId="10" borderId="13" xfId="0" applyFont="1" applyFill="1" applyBorder="1" applyProtection="1"/>
    <xf numFmtId="168" fontId="6" fillId="10" borderId="13" xfId="0" applyNumberFormat="1" applyFont="1" applyFill="1" applyBorder="1" applyProtection="1"/>
    <xf numFmtId="168" fontId="3" fillId="10" borderId="13" xfId="0" applyNumberFormat="1" applyFont="1" applyFill="1" applyBorder="1" applyProtection="1"/>
    <xf numFmtId="168" fontId="18" fillId="10" borderId="1" xfId="2" applyNumberFormat="1" applyFont="1" applyFill="1" applyBorder="1" applyAlignment="1" applyProtection="1">
      <alignment horizontal="right"/>
      <protection hidden="1"/>
    </xf>
    <xf numFmtId="0" fontId="1" fillId="0" borderId="8" xfId="0" applyFont="1" applyFill="1" applyBorder="1" applyAlignment="1" applyProtection="1">
      <alignment horizontal="left"/>
      <protection locked="0"/>
    </xf>
    <xf numFmtId="0" fontId="3" fillId="11" borderId="14" xfId="0" applyFont="1" applyFill="1" applyBorder="1" applyAlignment="1" applyProtection="1">
      <alignment horizontal="center"/>
    </xf>
    <xf numFmtId="0" fontId="15" fillId="11" borderId="36" xfId="0" applyFont="1" applyFill="1" applyBorder="1" applyProtection="1"/>
    <xf numFmtId="0" fontId="16" fillId="11" borderId="27" xfId="0" applyFont="1" applyFill="1" applyBorder="1" applyAlignment="1" applyProtection="1">
      <alignment horizontal="center"/>
    </xf>
    <xf numFmtId="0" fontId="20" fillId="0" borderId="16" xfId="0" applyFont="1" applyFill="1" applyBorder="1" applyProtection="1">
      <protection locked="0"/>
    </xf>
    <xf numFmtId="0" fontId="20" fillId="0" borderId="2" xfId="0" applyFont="1" applyFill="1" applyBorder="1" applyAlignment="1" applyProtection="1">
      <alignment horizontal="left"/>
      <protection locked="0"/>
    </xf>
    <xf numFmtId="168" fontId="20" fillId="0" borderId="2" xfId="2" applyNumberFormat="1" applyFont="1" applyFill="1" applyBorder="1" applyAlignment="1" applyProtection="1">
      <alignment horizontal="right"/>
      <protection hidden="1"/>
    </xf>
    <xf numFmtId="43" fontId="20" fillId="0" borderId="2" xfId="2" applyFont="1" applyFill="1" applyBorder="1" applyAlignment="1" applyProtection="1">
      <alignment horizontal="right"/>
      <protection hidden="1"/>
    </xf>
    <xf numFmtId="0" fontId="20" fillId="0" borderId="16" xfId="0" applyFont="1" applyFill="1" applyBorder="1" applyAlignment="1" applyProtection="1">
      <alignment horizontal="left" wrapText="1"/>
      <protection locked="0"/>
    </xf>
    <xf numFmtId="0" fontId="20" fillId="0" borderId="16" xfId="0" applyFont="1" applyFill="1" applyBorder="1" applyAlignment="1" applyProtection="1">
      <alignment horizontal="left"/>
      <protection locked="0"/>
    </xf>
    <xf numFmtId="0" fontId="20" fillId="0" borderId="2" xfId="0" applyFont="1" applyFill="1" applyBorder="1" applyAlignment="1" applyProtection="1">
      <alignment horizontal="left" wrapText="1"/>
      <protection locked="0"/>
    </xf>
    <xf numFmtId="0" fontId="20" fillId="0" borderId="10" xfId="0" applyFont="1" applyFill="1" applyBorder="1" applyProtection="1">
      <protection locked="0"/>
    </xf>
    <xf numFmtId="0" fontId="19" fillId="0" borderId="16" xfId="0" applyFont="1" applyFill="1" applyBorder="1" applyAlignment="1" applyProtection="1">
      <alignment horizontal="left"/>
      <protection locked="0"/>
    </xf>
    <xf numFmtId="168" fontId="20" fillId="0" borderId="3" xfId="2" applyNumberFormat="1" applyFont="1" applyFill="1" applyBorder="1" applyAlignment="1" applyProtection="1">
      <alignment horizontal="right"/>
      <protection hidden="1"/>
    </xf>
    <xf numFmtId="43" fontId="20" fillId="0" borderId="3" xfId="2" applyFont="1" applyFill="1" applyBorder="1" applyAlignment="1" applyProtection="1">
      <alignment horizontal="right"/>
      <protection hidden="1"/>
    </xf>
    <xf numFmtId="0" fontId="22" fillId="11" borderId="3" xfId="0" applyFont="1" applyFill="1" applyBorder="1" applyProtection="1"/>
    <xf numFmtId="0" fontId="22" fillId="11" borderId="4" xfId="0" applyFont="1" applyFill="1" applyBorder="1" applyProtection="1"/>
    <xf numFmtId="0" fontId="21" fillId="11" borderId="4" xfId="0" applyFont="1" applyFill="1" applyBorder="1" applyAlignment="1" applyProtection="1">
      <alignment horizontal="center"/>
    </xf>
    <xf numFmtId="43" fontId="21" fillId="11" borderId="0" xfId="2" applyFont="1" applyFill="1" applyBorder="1" applyAlignment="1" applyProtection="1">
      <alignment horizontal="center"/>
    </xf>
    <xf numFmtId="0" fontId="21" fillId="11" borderId="0" xfId="0" applyFont="1" applyFill="1" applyBorder="1" applyAlignment="1" applyProtection="1">
      <alignment horizontal="center"/>
    </xf>
    <xf numFmtId="0" fontId="21" fillId="11" borderId="3" xfId="0" applyFont="1" applyFill="1" applyBorder="1" applyAlignment="1" applyProtection="1">
      <alignment horizontal="center"/>
    </xf>
    <xf numFmtId="0" fontId="21" fillId="11" borderId="5" xfId="0" applyFont="1" applyFill="1" applyBorder="1" applyAlignment="1" applyProtection="1">
      <alignment horizontal="center"/>
    </xf>
    <xf numFmtId="43" fontId="21" fillId="11" borderId="3" xfId="2" applyFont="1" applyFill="1" applyBorder="1" applyAlignment="1" applyProtection="1">
      <alignment horizontal="center"/>
    </xf>
    <xf numFmtId="43" fontId="21" fillId="11" borderId="4" xfId="2" applyFont="1" applyFill="1" applyBorder="1" applyAlignment="1" applyProtection="1">
      <alignment horizontal="center"/>
    </xf>
    <xf numFmtId="0" fontId="21" fillId="11" borderId="13" xfId="0" applyFont="1" applyFill="1" applyBorder="1" applyAlignment="1" applyProtection="1">
      <alignment horizontal="center"/>
    </xf>
    <xf numFmtId="43" fontId="21" fillId="11" borderId="6" xfId="2" applyFont="1" applyFill="1" applyBorder="1" applyAlignment="1" applyProtection="1">
      <alignment horizontal="center"/>
    </xf>
    <xf numFmtId="0" fontId="21" fillId="11" borderId="6" xfId="0" applyFont="1" applyFill="1" applyBorder="1" applyAlignment="1" applyProtection="1">
      <alignment horizontal="center"/>
    </xf>
    <xf numFmtId="0" fontId="21" fillId="0" borderId="3" xfId="0" applyFont="1" applyFill="1" applyBorder="1" applyAlignment="1" applyProtection="1">
      <alignment horizontal="center"/>
    </xf>
    <xf numFmtId="0" fontId="20" fillId="0" borderId="25" xfId="0" applyFont="1" applyFill="1" applyBorder="1" applyAlignment="1" applyProtection="1">
      <alignment horizontal="left"/>
      <protection locked="0"/>
    </xf>
    <xf numFmtId="0" fontId="20" fillId="0" borderId="41" xfId="0" applyFont="1" applyFill="1" applyBorder="1" applyAlignment="1" applyProtection="1">
      <alignment horizontal="left"/>
      <protection locked="0"/>
    </xf>
    <xf numFmtId="0" fontId="20" fillId="0" borderId="22" xfId="0" applyFont="1" applyFill="1" applyBorder="1" applyAlignment="1" applyProtection="1">
      <alignment horizontal="left"/>
      <protection locked="0"/>
    </xf>
    <xf numFmtId="168" fontId="20" fillId="0" borderId="32" xfId="2" applyNumberFormat="1" applyFont="1" applyFill="1" applyBorder="1" applyAlignment="1" applyProtection="1">
      <alignment horizontal="right"/>
      <protection hidden="1"/>
    </xf>
    <xf numFmtId="0" fontId="20" fillId="11" borderId="3" xfId="0" applyFont="1" applyFill="1" applyBorder="1" applyProtection="1"/>
    <xf numFmtId="0" fontId="19" fillId="11" borderId="3" xfId="0" applyFont="1" applyFill="1" applyBorder="1" applyAlignment="1" applyProtection="1">
      <alignment horizontal="center"/>
    </xf>
    <xf numFmtId="43" fontId="19" fillId="11" borderId="0" xfId="2" applyFont="1" applyFill="1" applyBorder="1" applyAlignment="1" applyProtection="1">
      <alignment horizontal="center"/>
    </xf>
    <xf numFmtId="0" fontId="19" fillId="11" borderId="0" xfId="0" applyFont="1" applyFill="1" applyBorder="1" applyAlignment="1" applyProtection="1">
      <alignment horizontal="center"/>
    </xf>
    <xf numFmtId="0" fontId="19" fillId="11" borderId="5" xfId="0" applyFont="1" applyFill="1" applyBorder="1" applyAlignment="1" applyProtection="1">
      <alignment horizontal="center"/>
    </xf>
    <xf numFmtId="43" fontId="19" fillId="11" borderId="3" xfId="2" applyFont="1" applyFill="1" applyBorder="1" applyAlignment="1" applyProtection="1">
      <alignment horizontal="center"/>
    </xf>
    <xf numFmtId="0" fontId="19" fillId="11" borderId="4" xfId="0" applyFont="1" applyFill="1" applyBorder="1" applyAlignment="1" applyProtection="1">
      <alignment horizontal="center"/>
    </xf>
    <xf numFmtId="43" fontId="19" fillId="11" borderId="4" xfId="2" applyFont="1" applyFill="1" applyBorder="1" applyAlignment="1" applyProtection="1">
      <alignment horizontal="center"/>
    </xf>
    <xf numFmtId="0" fontId="19" fillId="11" borderId="13" xfId="0" applyFont="1" applyFill="1" applyBorder="1" applyAlignment="1" applyProtection="1">
      <alignment horizontal="center"/>
    </xf>
    <xf numFmtId="43" fontId="19" fillId="11" borderId="6" xfId="2" applyFont="1" applyFill="1" applyBorder="1" applyAlignment="1" applyProtection="1">
      <alignment horizontal="center"/>
    </xf>
    <xf numFmtId="0" fontId="19" fillId="11" borderId="6" xfId="0" applyFont="1" applyFill="1" applyBorder="1" applyAlignment="1" applyProtection="1">
      <alignment horizontal="center"/>
    </xf>
    <xf numFmtId="0" fontId="48" fillId="0" borderId="16" xfId="0" applyFont="1" applyFill="1" applyBorder="1" applyAlignment="1" applyProtection="1">
      <alignment horizontal="left"/>
      <protection locked="0"/>
    </xf>
    <xf numFmtId="0" fontId="49" fillId="0" borderId="16" xfId="0" applyFont="1" applyFill="1" applyBorder="1" applyAlignment="1" applyProtection="1">
      <alignment horizontal="left"/>
      <protection locked="0"/>
    </xf>
    <xf numFmtId="0" fontId="49" fillId="0" borderId="16" xfId="0" applyFont="1" applyFill="1" applyBorder="1" applyAlignment="1" applyProtection="1">
      <alignment horizontal="center"/>
      <protection locked="0"/>
    </xf>
    <xf numFmtId="43" fontId="49" fillId="0" borderId="16" xfId="2" applyFont="1" applyFill="1" applyBorder="1" applyAlignment="1" applyProtection="1">
      <alignment horizontal="right"/>
    </xf>
    <xf numFmtId="168" fontId="49" fillId="0" borderId="16" xfId="2" applyNumberFormat="1" applyFont="1" applyFill="1" applyBorder="1" applyAlignment="1" applyProtection="1">
      <alignment horizontal="right"/>
      <protection hidden="1"/>
    </xf>
    <xf numFmtId="43" fontId="49" fillId="0" borderId="16" xfId="2" applyFont="1" applyFill="1" applyBorder="1" applyAlignment="1" applyProtection="1">
      <alignment horizontal="right"/>
      <protection hidden="1"/>
    </xf>
    <xf numFmtId="0" fontId="49" fillId="0" borderId="2" xfId="0" applyFont="1" applyFill="1" applyBorder="1" applyAlignment="1" applyProtection="1">
      <alignment horizontal="left"/>
      <protection locked="0"/>
    </xf>
    <xf numFmtId="0" fontId="49" fillId="0" borderId="2" xfId="0" applyFont="1" applyFill="1" applyBorder="1" applyAlignment="1" applyProtection="1">
      <alignment horizontal="left" wrapText="1"/>
      <protection locked="0"/>
    </xf>
    <xf numFmtId="0" fontId="49" fillId="0" borderId="2" xfId="0" applyFont="1" applyFill="1" applyBorder="1" applyAlignment="1" applyProtection="1">
      <alignment horizontal="center"/>
      <protection locked="0"/>
    </xf>
    <xf numFmtId="168" fontId="49" fillId="0" borderId="2" xfId="2" applyNumberFormat="1" applyFont="1" applyFill="1" applyBorder="1" applyAlignment="1" applyProtection="1">
      <alignment horizontal="right"/>
    </xf>
    <xf numFmtId="43" fontId="49" fillId="0" borderId="2" xfId="2" applyFont="1" applyFill="1" applyBorder="1" applyAlignment="1" applyProtection="1">
      <alignment horizontal="right"/>
      <protection hidden="1"/>
    </xf>
    <xf numFmtId="168" fontId="49" fillId="0" borderId="2" xfId="2" applyNumberFormat="1" applyFont="1" applyFill="1" applyBorder="1" applyAlignment="1" applyProtection="1">
      <alignment horizontal="right"/>
      <protection hidden="1"/>
    </xf>
    <xf numFmtId="0" fontId="48" fillId="0" borderId="32" xfId="0" applyFont="1" applyFill="1" applyBorder="1" applyAlignment="1" applyProtection="1">
      <alignment horizontal="left"/>
      <protection locked="0"/>
    </xf>
    <xf numFmtId="0" fontId="49" fillId="0" borderId="9" xfId="0" applyFont="1" applyFill="1" applyBorder="1" applyAlignment="1" applyProtection="1">
      <alignment horizontal="left" wrapText="1"/>
      <protection locked="0"/>
    </xf>
    <xf numFmtId="0" fontId="49" fillId="0" borderId="32" xfId="0" applyFont="1" applyFill="1" applyBorder="1" applyAlignment="1" applyProtection="1">
      <alignment horizontal="left"/>
      <protection locked="0"/>
    </xf>
    <xf numFmtId="43" fontId="49" fillId="0" borderId="2" xfId="2" applyFont="1" applyFill="1" applyBorder="1" applyAlignment="1" applyProtection="1">
      <alignment horizontal="right"/>
    </xf>
    <xf numFmtId="0" fontId="48" fillId="0" borderId="25" xfId="0" applyFont="1" applyFill="1" applyBorder="1" applyAlignment="1" applyProtection="1">
      <alignment horizontal="left"/>
      <protection locked="0"/>
    </xf>
    <xf numFmtId="0" fontId="49" fillId="0" borderId="25" xfId="0" applyFont="1" applyFill="1" applyBorder="1" applyAlignment="1" applyProtection="1">
      <alignment horizontal="left"/>
      <protection locked="0"/>
    </xf>
    <xf numFmtId="0" fontId="48" fillId="0" borderId="2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0" fontId="3" fillId="0" borderId="53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48" fillId="0" borderId="37" xfId="0" applyFont="1" applyFill="1" applyBorder="1" applyAlignment="1" applyProtection="1">
      <alignment horizontal="left"/>
    </xf>
    <xf numFmtId="0" fontId="48" fillId="0" borderId="24" xfId="0" applyFont="1" applyFill="1" applyBorder="1" applyAlignment="1" applyProtection="1">
      <alignment horizontal="center"/>
    </xf>
    <xf numFmtId="0" fontId="48" fillId="0" borderId="38" xfId="0" applyFont="1" applyFill="1" applyBorder="1" applyAlignment="1" applyProtection="1">
      <alignment horizontal="center"/>
    </xf>
    <xf numFmtId="0" fontId="48" fillId="0" borderId="10" xfId="0" applyFont="1" applyFill="1" applyBorder="1" applyAlignment="1" applyProtection="1">
      <alignment horizontal="center"/>
    </xf>
    <xf numFmtId="43" fontId="48" fillId="0" borderId="10" xfId="2" applyFont="1" applyFill="1" applyBorder="1" applyAlignment="1" applyProtection="1">
      <alignment horizontal="center"/>
    </xf>
    <xf numFmtId="43" fontId="48" fillId="0" borderId="39" xfId="2" applyFont="1" applyFill="1" applyBorder="1" applyAlignment="1" applyProtection="1">
      <alignment horizontal="center"/>
    </xf>
    <xf numFmtId="0" fontId="48" fillId="0" borderId="39" xfId="0" applyFont="1" applyFill="1" applyBorder="1" applyAlignment="1" applyProtection="1">
      <alignment horizontal="center"/>
    </xf>
    <xf numFmtId="0" fontId="49" fillId="0" borderId="8" xfId="0" applyFont="1" applyFill="1" applyBorder="1" applyAlignment="1" applyProtection="1">
      <alignment horizontal="left"/>
      <protection locked="0"/>
    </xf>
    <xf numFmtId="0" fontId="49" fillId="0" borderId="34" xfId="0" applyFont="1" applyFill="1" applyBorder="1" applyAlignment="1" applyProtection="1">
      <alignment horizontal="left"/>
      <protection locked="0"/>
    </xf>
    <xf numFmtId="0" fontId="49" fillId="0" borderId="9" xfId="0" applyFont="1" applyFill="1" applyBorder="1" applyAlignment="1" applyProtection="1">
      <alignment horizontal="center"/>
      <protection locked="0"/>
    </xf>
    <xf numFmtId="0" fontId="48" fillId="0" borderId="8" xfId="0" applyFont="1" applyFill="1" applyBorder="1" applyAlignment="1" applyProtection="1">
      <alignment horizontal="left"/>
      <protection locked="0"/>
    </xf>
    <xf numFmtId="0" fontId="49" fillId="0" borderId="22" xfId="0" applyFont="1" applyFill="1" applyBorder="1" applyAlignment="1" applyProtection="1">
      <alignment horizontal="center"/>
      <protection locked="0"/>
    </xf>
    <xf numFmtId="0" fontId="49" fillId="0" borderId="34" xfId="0" applyFont="1" applyFill="1" applyBorder="1" applyAlignment="1" applyProtection="1">
      <alignment horizontal="left" wrapText="1"/>
      <protection locked="0"/>
    </xf>
    <xf numFmtId="0" fontId="48" fillId="0" borderId="21" xfId="0" applyFont="1" applyBorder="1" applyAlignment="1" applyProtection="1">
      <alignment horizontal="left"/>
      <protection locked="0"/>
    </xf>
    <xf numFmtId="0" fontId="49" fillId="0" borderId="34" xfId="0" applyFont="1" applyBorder="1" applyAlignment="1" applyProtection="1">
      <alignment horizontal="left"/>
      <protection locked="0"/>
    </xf>
    <xf numFmtId="0" fontId="49" fillId="0" borderId="9" xfId="0" applyFont="1" applyBorder="1" applyAlignment="1" applyProtection="1">
      <alignment horizontal="center"/>
      <protection locked="0"/>
    </xf>
    <xf numFmtId="0" fontId="49" fillId="0" borderId="21" xfId="0" applyFont="1" applyFill="1" applyBorder="1" applyAlignment="1" applyProtection="1">
      <alignment horizontal="left"/>
      <protection locked="0"/>
    </xf>
    <xf numFmtId="43" fontId="49" fillId="0" borderId="8" xfId="2" applyFont="1" applyFill="1" applyBorder="1" applyAlignment="1" applyProtection="1">
      <alignment horizontal="right"/>
    </xf>
    <xf numFmtId="0" fontId="48" fillId="0" borderId="21" xfId="0" applyFont="1" applyFill="1" applyBorder="1" applyAlignment="1" applyProtection="1">
      <alignment horizontal="left"/>
      <protection locked="0"/>
    </xf>
    <xf numFmtId="0" fontId="48" fillId="0" borderId="40" xfId="0" applyFont="1" applyFill="1" applyBorder="1" applyAlignment="1" applyProtection="1">
      <alignment horizontal="left"/>
      <protection locked="0"/>
    </xf>
    <xf numFmtId="0" fontId="49" fillId="0" borderId="30" xfId="0" applyFont="1" applyFill="1" applyBorder="1" applyAlignment="1" applyProtection="1">
      <alignment horizontal="center"/>
      <protection locked="0"/>
    </xf>
    <xf numFmtId="168" fontId="49" fillId="0" borderId="31" xfId="2" applyNumberFormat="1" applyFont="1" applyFill="1" applyBorder="1" applyAlignment="1" applyProtection="1">
      <alignment horizontal="right"/>
      <protection hidden="1"/>
    </xf>
    <xf numFmtId="0" fontId="49" fillId="0" borderId="9" xfId="0" applyFont="1" applyFill="1" applyBorder="1" applyAlignment="1" applyProtection="1">
      <alignment horizontal="left"/>
      <protection locked="0"/>
    </xf>
    <xf numFmtId="0" fontId="48" fillId="0" borderId="2" xfId="0" applyFont="1" applyBorder="1" applyAlignment="1" applyProtection="1">
      <alignment horizontal="left"/>
      <protection locked="0"/>
    </xf>
    <xf numFmtId="0" fontId="49" fillId="0" borderId="2" xfId="0" applyFont="1" applyBorder="1" applyAlignment="1" applyProtection="1">
      <alignment horizontal="left"/>
      <protection locked="0"/>
    </xf>
    <xf numFmtId="0" fontId="49" fillId="0" borderId="2" xfId="0" applyFont="1" applyBorder="1" applyAlignment="1" applyProtection="1">
      <alignment horizontal="center"/>
      <protection locked="0"/>
    </xf>
    <xf numFmtId="168" fontId="49" fillId="0" borderId="2" xfId="2" applyNumberFormat="1" applyFont="1" applyBorder="1" applyAlignment="1" applyProtection="1">
      <alignment horizontal="right"/>
      <protection hidden="1"/>
    </xf>
    <xf numFmtId="43" fontId="49" fillId="0" borderId="2" xfId="2" applyFont="1" applyBorder="1" applyAlignment="1" applyProtection="1">
      <alignment horizontal="right"/>
      <protection hidden="1"/>
    </xf>
    <xf numFmtId="0" fontId="49" fillId="0" borderId="3" xfId="0" applyFont="1" applyFill="1" applyBorder="1" applyAlignment="1" applyProtection="1">
      <alignment horizontal="left"/>
      <protection locked="0"/>
    </xf>
    <xf numFmtId="0" fontId="49" fillId="0" borderId="3" xfId="0" applyFont="1" applyFill="1" applyBorder="1" applyAlignment="1" applyProtection="1">
      <alignment horizontal="left" wrapText="1"/>
      <protection locked="0"/>
    </xf>
    <xf numFmtId="0" fontId="49" fillId="0" borderId="3" xfId="0" applyFont="1" applyFill="1" applyBorder="1" applyAlignment="1" applyProtection="1">
      <alignment horizontal="center"/>
      <protection locked="0"/>
    </xf>
    <xf numFmtId="43" fontId="49" fillId="0" borderId="3" xfId="2" applyFont="1" applyFill="1" applyBorder="1" applyAlignment="1" applyProtection="1">
      <alignment horizontal="right"/>
    </xf>
    <xf numFmtId="0" fontId="49" fillId="0" borderId="2" xfId="0" applyFont="1" applyFill="1" applyBorder="1" applyAlignment="1" applyProtection="1">
      <alignment horizontal="center" wrapText="1"/>
      <protection locked="0"/>
    </xf>
    <xf numFmtId="0" fontId="49" fillId="0" borderId="10" xfId="0" applyFont="1" applyFill="1" applyBorder="1" applyAlignment="1" applyProtection="1">
      <alignment horizontal="left"/>
      <protection locked="0"/>
    </xf>
    <xf numFmtId="0" fontId="49" fillId="0" borderId="16" xfId="0" applyFont="1" applyFill="1" applyBorder="1" applyAlignment="1" applyProtection="1">
      <alignment horizontal="left" wrapText="1"/>
      <protection locked="0"/>
    </xf>
    <xf numFmtId="0" fontId="48" fillId="0" borderId="3" xfId="0" applyFont="1" applyFill="1" applyBorder="1" applyAlignment="1" applyProtection="1">
      <alignment horizontal="left"/>
      <protection hidden="1"/>
    </xf>
    <xf numFmtId="0" fontId="48" fillId="0" borderId="3" xfId="0" applyFont="1" applyFill="1" applyBorder="1" applyAlignment="1" applyProtection="1">
      <alignment horizontal="center"/>
      <protection hidden="1"/>
    </xf>
    <xf numFmtId="0" fontId="48" fillId="0" borderId="16" xfId="0" applyFont="1" applyFill="1" applyBorder="1" applyAlignment="1" applyProtection="1">
      <alignment horizontal="center"/>
      <protection hidden="1"/>
    </xf>
    <xf numFmtId="43" fontId="48" fillId="0" borderId="3" xfId="2" applyFont="1" applyFill="1" applyBorder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21" fillId="0" borderId="0" xfId="0" applyFont="1" applyProtection="1">
      <protection hidden="1"/>
    </xf>
    <xf numFmtId="168" fontId="41" fillId="11" borderId="1" xfId="2" applyNumberFormat="1" applyFont="1" applyFill="1" applyBorder="1" applyAlignment="1" applyProtection="1">
      <alignment horizontal="right"/>
    </xf>
    <xf numFmtId="43" fontId="5" fillId="0" borderId="15" xfId="2" applyFont="1" applyBorder="1" applyProtection="1"/>
    <xf numFmtId="0" fontId="2" fillId="0" borderId="26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10" borderId="46" xfId="0" applyFont="1" applyFill="1" applyBorder="1" applyAlignment="1" applyProtection="1">
      <alignment horizontal="center"/>
      <protection hidden="1"/>
    </xf>
    <xf numFmtId="0" fontId="3" fillId="10" borderId="15" xfId="0" applyFont="1" applyFill="1" applyBorder="1" applyAlignment="1" applyProtection="1">
      <alignment horizontal="center"/>
      <protection hidden="1"/>
    </xf>
    <xf numFmtId="0" fontId="42" fillId="0" borderId="6" xfId="0" applyFont="1" applyBorder="1" applyAlignment="1" applyProtection="1">
      <alignment horizontal="center"/>
      <protection hidden="1"/>
    </xf>
    <xf numFmtId="0" fontId="42" fillId="0" borderId="12" xfId="0" applyFont="1" applyBorder="1" applyAlignment="1" applyProtection="1">
      <alignment horizontal="center"/>
      <protection hidden="1"/>
    </xf>
    <xf numFmtId="0" fontId="43" fillId="0" borderId="0" xfId="0" applyFont="1" applyBorder="1" applyAlignment="1" applyProtection="1">
      <alignment horizontal="center"/>
      <protection hidden="1"/>
    </xf>
    <xf numFmtId="0" fontId="43" fillId="0" borderId="23" xfId="0" applyFont="1" applyBorder="1" applyAlignment="1" applyProtection="1">
      <alignment horizontal="center"/>
      <protection hidden="1"/>
    </xf>
    <xf numFmtId="0" fontId="42" fillId="0" borderId="0" xfId="0" applyFont="1" applyBorder="1" applyAlignment="1" applyProtection="1">
      <alignment horizontal="center"/>
      <protection hidden="1"/>
    </xf>
    <xf numFmtId="0" fontId="42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44" fillId="0" borderId="0" xfId="0" applyFont="1" applyBorder="1" applyAlignment="1" applyProtection="1">
      <alignment horizontal="center"/>
      <protection hidden="1"/>
    </xf>
    <xf numFmtId="0" fontId="3" fillId="10" borderId="27" xfId="0" applyFont="1" applyFill="1" applyBorder="1" applyAlignment="1" applyProtection="1">
      <alignment horizontal="center"/>
      <protection hidden="1"/>
    </xf>
    <xf numFmtId="0" fontId="3" fillId="10" borderId="47" xfId="0" applyFont="1" applyFill="1" applyBorder="1" applyAlignment="1" applyProtection="1">
      <alignment horizontal="center"/>
      <protection hidden="1"/>
    </xf>
    <xf numFmtId="0" fontId="3" fillId="10" borderId="26" xfId="0" applyFont="1" applyFill="1" applyBorder="1" applyAlignment="1" applyProtection="1">
      <alignment horizontal="center"/>
      <protection hidden="1"/>
    </xf>
    <xf numFmtId="0" fontId="45" fillId="0" borderId="0" xfId="0" applyFont="1" applyBorder="1" applyAlignment="1" applyProtection="1">
      <alignment horizontal="center"/>
      <protection hidden="1"/>
    </xf>
    <xf numFmtId="0" fontId="44" fillId="0" borderId="23" xfId="0" applyFont="1" applyBorder="1" applyAlignment="1" applyProtection="1">
      <alignment horizontal="center"/>
      <protection hidden="1"/>
    </xf>
    <xf numFmtId="0" fontId="45" fillId="2" borderId="0" xfId="0" applyFont="1" applyFill="1" applyBorder="1" applyAlignment="1" applyProtection="1">
      <alignment horizontal="center"/>
    </xf>
    <xf numFmtId="0" fontId="45" fillId="2" borderId="0" xfId="0" applyFont="1" applyFill="1" applyBorder="1" applyAlignment="1" applyProtection="1">
      <alignment horizontal="center"/>
      <protection locked="0"/>
    </xf>
    <xf numFmtId="0" fontId="44" fillId="2" borderId="6" xfId="0" applyFont="1" applyFill="1" applyBorder="1" applyAlignment="1" applyProtection="1">
      <alignment horizontal="center"/>
    </xf>
    <xf numFmtId="0" fontId="44" fillId="2" borderId="12" xfId="0" applyFont="1" applyFill="1" applyBorder="1" applyAlignment="1" applyProtection="1">
      <alignment horizontal="center"/>
    </xf>
    <xf numFmtId="0" fontId="44" fillId="2" borderId="0" xfId="0" applyFont="1" applyFill="1" applyBorder="1" applyAlignment="1" applyProtection="1">
      <alignment horizontal="center"/>
      <protection locked="0"/>
    </xf>
    <xf numFmtId="0" fontId="44" fillId="2" borderId="23" xfId="0" applyFont="1" applyFill="1" applyBorder="1" applyAlignment="1" applyProtection="1">
      <alignment horizontal="center"/>
      <protection locked="0"/>
    </xf>
    <xf numFmtId="0" fontId="21" fillId="11" borderId="46" xfId="0" applyFont="1" applyFill="1" applyBorder="1" applyAlignment="1" applyProtection="1">
      <alignment horizontal="center"/>
    </xf>
    <xf numFmtId="0" fontId="21" fillId="11" borderId="15" xfId="0" applyFont="1" applyFill="1" applyBorder="1" applyAlignment="1" applyProtection="1">
      <alignment horizontal="center"/>
    </xf>
    <xf numFmtId="0" fontId="21" fillId="11" borderId="28" xfId="0" applyFont="1" applyFill="1" applyBorder="1" applyAlignment="1" applyProtection="1">
      <alignment horizontal="center"/>
    </xf>
    <xf numFmtId="0" fontId="44" fillId="2" borderId="15" xfId="0" applyFont="1" applyFill="1" applyBorder="1" applyAlignment="1" applyProtection="1">
      <alignment horizontal="center"/>
      <protection locked="0"/>
    </xf>
    <xf numFmtId="0" fontId="44" fillId="2" borderId="28" xfId="0" applyFont="1" applyFill="1" applyBorder="1" applyAlignment="1" applyProtection="1">
      <alignment horizontal="center"/>
      <protection locked="0"/>
    </xf>
    <xf numFmtId="0" fontId="44" fillId="2" borderId="0" xfId="0" applyFont="1" applyFill="1" applyBorder="1" applyAlignment="1" applyProtection="1">
      <alignment horizontal="center"/>
    </xf>
    <xf numFmtId="0" fontId="44" fillId="2" borderId="23" xfId="0" applyFont="1" applyFill="1" applyBorder="1" applyAlignment="1" applyProtection="1">
      <alignment horizontal="center"/>
    </xf>
    <xf numFmtId="0" fontId="21" fillId="0" borderId="0" xfId="0" applyFont="1" applyAlignment="1" applyProtection="1">
      <alignment horizontal="center"/>
      <protection hidden="1"/>
    </xf>
    <xf numFmtId="0" fontId="3" fillId="10" borderId="46" xfId="0" applyFont="1" applyFill="1" applyBorder="1" applyAlignment="1" applyProtection="1">
      <alignment horizontal="center"/>
    </xf>
    <xf numFmtId="0" fontId="3" fillId="10" borderId="15" xfId="0" applyFont="1" applyFill="1" applyBorder="1" applyAlignment="1" applyProtection="1">
      <alignment horizontal="center"/>
    </xf>
    <xf numFmtId="0" fontId="3" fillId="10" borderId="28" xfId="0" applyFont="1" applyFill="1" applyBorder="1" applyAlignment="1" applyProtection="1">
      <alignment horizontal="center"/>
    </xf>
    <xf numFmtId="0" fontId="3" fillId="11" borderId="46" xfId="0" applyFont="1" applyFill="1" applyBorder="1" applyAlignment="1" applyProtection="1">
      <alignment horizontal="center"/>
    </xf>
    <xf numFmtId="0" fontId="3" fillId="11" borderId="15" xfId="0" applyFont="1" applyFill="1" applyBorder="1" applyAlignment="1" applyProtection="1">
      <alignment horizontal="center"/>
    </xf>
    <xf numFmtId="0" fontId="3" fillId="11" borderId="28" xfId="0" applyFont="1" applyFill="1" applyBorder="1" applyAlignment="1" applyProtection="1">
      <alignment horizontal="center"/>
    </xf>
    <xf numFmtId="0" fontId="22" fillId="0" borderId="6" xfId="0" applyFont="1" applyBorder="1" applyAlignment="1" applyProtection="1">
      <alignment horizontal="center"/>
      <protection hidden="1"/>
    </xf>
    <xf numFmtId="0" fontId="47" fillId="0" borderId="0" xfId="0" applyFont="1" applyFill="1" applyBorder="1" applyAlignment="1" applyProtection="1">
      <alignment horizontal="center"/>
      <protection locked="0"/>
    </xf>
    <xf numFmtId="0" fontId="19" fillId="11" borderId="46" xfId="0" applyFont="1" applyFill="1" applyBorder="1" applyAlignment="1" applyProtection="1">
      <alignment horizontal="center"/>
    </xf>
    <xf numFmtId="0" fontId="19" fillId="11" borderId="15" xfId="0" applyFont="1" applyFill="1" applyBorder="1" applyAlignment="1" applyProtection="1">
      <alignment horizontal="center"/>
    </xf>
    <xf numFmtId="0" fontId="19" fillId="11" borderId="28" xfId="0" applyFont="1" applyFill="1" applyBorder="1" applyAlignment="1" applyProtection="1">
      <alignment horizontal="center"/>
    </xf>
    <xf numFmtId="0" fontId="47" fillId="0" borderId="0" xfId="0" applyFont="1" applyFill="1" applyBorder="1" applyAlignment="1" applyProtection="1">
      <alignment horizontal="center"/>
    </xf>
    <xf numFmtId="0" fontId="46" fillId="0" borderId="0" xfId="0" applyFont="1" applyBorder="1" applyAlignment="1" applyProtection="1">
      <alignment horizontal="center"/>
      <protection hidden="1"/>
    </xf>
    <xf numFmtId="0" fontId="46" fillId="0" borderId="23" xfId="0" applyFont="1" applyBorder="1" applyAlignment="1" applyProtection="1">
      <alignment horizontal="center"/>
      <protection hidden="1"/>
    </xf>
    <xf numFmtId="0" fontId="12" fillId="10" borderId="11" xfId="0" applyFont="1" applyFill="1" applyBorder="1" applyAlignment="1" applyProtection="1">
      <alignment horizontal="center"/>
      <protection hidden="1"/>
    </xf>
    <xf numFmtId="0" fontId="12" fillId="10" borderId="6" xfId="0" applyFont="1" applyFill="1" applyBorder="1" applyAlignment="1" applyProtection="1">
      <alignment horizontal="center"/>
      <protection hidden="1"/>
    </xf>
    <xf numFmtId="0" fontId="12" fillId="10" borderId="12" xfId="0" applyFont="1" applyFill="1" applyBorder="1" applyAlignment="1" applyProtection="1">
      <alignment horizontal="center"/>
      <protection hidden="1"/>
    </xf>
    <xf numFmtId="0" fontId="46" fillId="0" borderId="6" xfId="0" applyFont="1" applyBorder="1" applyAlignment="1" applyProtection="1">
      <alignment horizontal="center"/>
      <protection hidden="1"/>
    </xf>
    <xf numFmtId="0" fontId="46" fillId="0" borderId="12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46" fillId="0" borderId="15" xfId="0" applyFont="1" applyBorder="1" applyAlignment="1" applyProtection="1">
      <alignment horizontal="center"/>
      <protection hidden="1"/>
    </xf>
    <xf numFmtId="0" fontId="46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44" fillId="0" borderId="6" xfId="0" applyFont="1" applyBorder="1" applyAlignment="1" applyProtection="1">
      <alignment horizontal="center"/>
    </xf>
    <xf numFmtId="0" fontId="44" fillId="0" borderId="12" xfId="0" applyFont="1" applyBorder="1" applyAlignment="1" applyProtection="1">
      <alignment horizontal="center"/>
    </xf>
    <xf numFmtId="0" fontId="44" fillId="0" borderId="0" xfId="0" applyFont="1" applyBorder="1" applyAlignment="1" applyProtection="1">
      <alignment horizontal="center"/>
      <protection locked="0"/>
    </xf>
    <xf numFmtId="0" fontId="44" fillId="0" borderId="23" xfId="0" applyFont="1" applyBorder="1" applyAlignment="1" applyProtection="1">
      <alignment horizontal="center"/>
      <protection locked="0"/>
    </xf>
    <xf numFmtId="0" fontId="33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3.2" x14ac:dyDescent="0.25"/>
  <cols>
    <col min="1" max="1" width="15.6640625" customWidth="1"/>
  </cols>
  <sheetData>
    <row r="3" spans="1:1" x14ac:dyDescent="0.25">
      <c r="A3" s="34" t="s">
        <v>89</v>
      </c>
    </row>
    <row r="4" spans="1:1" x14ac:dyDescent="0.25">
      <c r="A4" s="34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N41"/>
  <sheetViews>
    <sheetView workbookViewId="0">
      <selection activeCell="B14" sqref="B14"/>
    </sheetView>
  </sheetViews>
  <sheetFormatPr baseColWidth="10" defaultColWidth="11.44140625" defaultRowHeight="13.2" x14ac:dyDescent="0.25"/>
  <cols>
    <col min="1" max="1" width="5.88671875" style="14" customWidth="1"/>
    <col min="2" max="2" width="44" style="14" customWidth="1"/>
    <col min="3" max="3" width="12.33203125" style="14" customWidth="1"/>
    <col min="4" max="4" width="5.5546875" style="14" customWidth="1"/>
    <col min="5" max="5" width="13.109375" style="14" customWidth="1"/>
    <col min="6" max="6" width="13.5546875" style="14" bestFit="1" customWidth="1"/>
    <col min="7" max="7" width="11.88671875" style="14" hidden="1" customWidth="1"/>
    <col min="8" max="8" width="11.88671875" style="14" bestFit="1" customWidth="1"/>
    <col min="9" max="9" width="10.88671875" style="14" hidden="1" customWidth="1"/>
    <col min="10" max="10" width="11" style="14" customWidth="1"/>
    <col min="11" max="11" width="13.5546875" style="14" bestFit="1" customWidth="1"/>
    <col min="12" max="12" width="65.88671875" style="14" customWidth="1"/>
    <col min="13" max="16384" width="11.44140625" style="14"/>
  </cols>
  <sheetData>
    <row r="1" spans="2:14" ht="5.25" customHeight="1" x14ac:dyDescent="0.25"/>
    <row r="2" spans="2:14" ht="5.25" customHeight="1" x14ac:dyDescent="0.25">
      <c r="B2" s="256"/>
      <c r="C2" s="256"/>
      <c r="D2" s="256"/>
      <c r="E2" s="256"/>
      <c r="F2" s="256"/>
      <c r="G2" s="256"/>
      <c r="H2" s="256"/>
      <c r="I2" s="256"/>
      <c r="J2" s="256"/>
      <c r="K2" s="257"/>
      <c r="L2" s="27"/>
    </row>
    <row r="3" spans="2:14" ht="21" x14ac:dyDescent="0.5"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7"/>
    </row>
    <row r="4" spans="2:14" ht="21" x14ac:dyDescent="0.5">
      <c r="B4" s="440"/>
      <c r="C4" s="440"/>
      <c r="D4" s="440"/>
      <c r="E4" s="440"/>
      <c r="F4" s="440"/>
      <c r="G4" s="440"/>
      <c r="H4" s="440"/>
      <c r="I4" s="440"/>
      <c r="J4" s="440"/>
      <c r="K4" s="440"/>
      <c r="L4" s="441"/>
    </row>
    <row r="5" spans="2:14" ht="18.600000000000001" x14ac:dyDescent="0.45">
      <c r="B5" s="438"/>
      <c r="C5" s="438"/>
      <c r="D5" s="438"/>
      <c r="E5" s="438"/>
      <c r="F5" s="438"/>
      <c r="G5" s="438"/>
      <c r="H5" s="438"/>
      <c r="I5" s="438"/>
      <c r="J5" s="438"/>
      <c r="K5" s="438"/>
      <c r="L5" s="439"/>
    </row>
    <row r="6" spans="2:14" ht="16.2" x14ac:dyDescent="0.3">
      <c r="B6" s="432"/>
      <c r="C6" s="432"/>
      <c r="D6" s="432"/>
      <c r="E6" s="432"/>
      <c r="F6" s="432"/>
      <c r="G6" s="432"/>
      <c r="H6" s="432"/>
      <c r="I6" s="432"/>
      <c r="J6" s="432"/>
      <c r="K6" s="433"/>
      <c r="L6" s="77"/>
    </row>
    <row r="7" spans="2:14" x14ac:dyDescent="0.25">
      <c r="B7" s="258"/>
      <c r="C7" s="258"/>
      <c r="D7" s="259" t="s">
        <v>3</v>
      </c>
      <c r="E7" s="259"/>
      <c r="F7" s="260"/>
      <c r="G7" s="434"/>
      <c r="H7" s="435"/>
      <c r="I7" s="435"/>
      <c r="J7" s="435"/>
      <c r="K7" s="435"/>
      <c r="L7" s="261"/>
    </row>
    <row r="8" spans="2:14" ht="12.75" customHeight="1" x14ac:dyDescent="0.25">
      <c r="B8" s="259"/>
      <c r="C8" s="259"/>
      <c r="D8" s="262" t="s">
        <v>4</v>
      </c>
      <c r="E8" s="263" t="s">
        <v>1</v>
      </c>
      <c r="F8" s="264" t="s">
        <v>121</v>
      </c>
      <c r="G8" s="264"/>
      <c r="H8" s="264" t="s">
        <v>124</v>
      </c>
      <c r="I8" s="264" t="s">
        <v>117</v>
      </c>
      <c r="J8" s="264"/>
      <c r="K8" s="264" t="s">
        <v>2</v>
      </c>
      <c r="L8" s="264"/>
    </row>
    <row r="9" spans="2:14" ht="13.8" x14ac:dyDescent="0.25">
      <c r="B9" s="265"/>
      <c r="C9" s="266" t="s">
        <v>8</v>
      </c>
      <c r="D9" s="259"/>
      <c r="E9" s="259" t="s">
        <v>122</v>
      </c>
      <c r="F9" s="263" t="s">
        <v>123</v>
      </c>
      <c r="G9" s="264" t="s">
        <v>116</v>
      </c>
      <c r="H9" s="263" t="s">
        <v>125</v>
      </c>
      <c r="I9" s="263" t="s">
        <v>118</v>
      </c>
      <c r="J9" s="263" t="s">
        <v>126</v>
      </c>
      <c r="K9" s="263" t="s">
        <v>119</v>
      </c>
      <c r="L9" s="264" t="s">
        <v>127</v>
      </c>
    </row>
    <row r="10" spans="2:14" ht="13.8" x14ac:dyDescent="0.25">
      <c r="B10" s="267" t="s">
        <v>78</v>
      </c>
      <c r="C10" s="268" t="s">
        <v>7</v>
      </c>
      <c r="D10" s="264"/>
      <c r="E10" s="264"/>
      <c r="F10" s="264"/>
      <c r="G10" s="264"/>
      <c r="H10" s="264"/>
      <c r="I10" s="264"/>
      <c r="J10" s="264"/>
      <c r="K10" s="264"/>
      <c r="L10" s="264"/>
    </row>
    <row r="11" spans="2:14" ht="13.8" x14ac:dyDescent="0.25">
      <c r="B11" s="16"/>
      <c r="C11" s="16"/>
      <c r="D11" s="15"/>
      <c r="E11" s="15"/>
      <c r="F11" s="15"/>
      <c r="G11" s="15"/>
      <c r="H11" s="15"/>
      <c r="I11" s="15"/>
      <c r="J11" s="15"/>
      <c r="K11" s="15"/>
      <c r="L11" s="45"/>
    </row>
    <row r="12" spans="2:14" ht="35.1" customHeight="1" x14ac:dyDescent="0.25">
      <c r="B12" s="4" t="s">
        <v>223</v>
      </c>
      <c r="C12" s="4" t="s">
        <v>64</v>
      </c>
      <c r="D12" s="5">
        <v>15</v>
      </c>
      <c r="E12" s="18">
        <v>10584</v>
      </c>
      <c r="F12" s="18">
        <f>E12</f>
        <v>10584</v>
      </c>
      <c r="G12" s="18"/>
      <c r="H12" s="18">
        <f t="shared" ref="H12:H18" si="0">IF(ROUND((((F12/D12*30.4)-VLOOKUP((F12/D12*30.4),TARIFA,1))*VLOOKUP((F12/D12*30.4),TARIFA,3)+VLOOKUP((F12/D12*30.4),TARIFA,2)-VLOOKUP((F12/D12*30.4),SUBSIDIO,2))/30.4*D12,2)&lt;0,ROUND(-(((F12/D12*30.4)-VLOOKUP((F12/D12*30.4),TARIFA,1))*VLOOKUP((F12/D12*30.4),TARIFA,3)+VLOOKUP((F12/D12*30.4),TARIFA,2)-VLOOKUP((F12/D12*30.4),SUBSIDIO,2))/30.4*D12,2),0)</f>
        <v>0</v>
      </c>
      <c r="I12" s="206"/>
      <c r="J12" s="18">
        <f t="shared" ref="J12:J18" si="1">IFERROR(IF(ROUND((((F12/D12*30.4)-VLOOKUP((F12/D12*30.4),TARIFA,1))*VLOOKUP((F12/D12*30.4),TARIFA,3)+VLOOKUP((F12/D12*30.4),TARIFA,2)-VLOOKUP((F12/D12*30.4),SUBSIDIO,2))/30.4*D12,2)&gt;0,ROUND((((F12/D12*30.4)-VLOOKUP((F12/D12*30.4),TARIFA,1))*VLOOKUP((F12/D12*30.4),TARIFA,3)+VLOOKUP((F12/D12*30.4),TARIFA,2)-VLOOKUP((F12/D12*30.4),SUBSIDIO,2))/30.4*D12,2),0),0)</f>
        <v>1549.64</v>
      </c>
      <c r="K12" s="18">
        <f>F12-J12</f>
        <v>9034.36</v>
      </c>
      <c r="L12" s="45"/>
      <c r="M12" s="43"/>
      <c r="N12" s="44"/>
    </row>
    <row r="13" spans="2:14" ht="35.1" customHeight="1" x14ac:dyDescent="0.25">
      <c r="B13" s="4" t="s">
        <v>235</v>
      </c>
      <c r="C13" s="4" t="s">
        <v>64</v>
      </c>
      <c r="D13" s="5">
        <v>15</v>
      </c>
      <c r="E13" s="18">
        <v>10584</v>
      </c>
      <c r="F13" s="18">
        <f t="shared" ref="F13:F21" si="2">E13</f>
        <v>10584</v>
      </c>
      <c r="G13" s="18"/>
      <c r="H13" s="18">
        <f t="shared" si="0"/>
        <v>0</v>
      </c>
      <c r="I13" s="206"/>
      <c r="J13" s="18">
        <f t="shared" si="1"/>
        <v>1549.64</v>
      </c>
      <c r="K13" s="18">
        <f t="shared" ref="K13:K21" si="3">F13-J13</f>
        <v>9034.36</v>
      </c>
      <c r="L13" s="45"/>
      <c r="M13" s="43"/>
      <c r="N13" s="44"/>
    </row>
    <row r="14" spans="2:14" ht="35.1" customHeight="1" x14ac:dyDescent="0.25">
      <c r="B14" s="4" t="s">
        <v>224</v>
      </c>
      <c r="C14" s="4" t="s">
        <v>64</v>
      </c>
      <c r="D14" s="5">
        <v>15</v>
      </c>
      <c r="E14" s="18">
        <v>10584</v>
      </c>
      <c r="F14" s="18">
        <f t="shared" si="2"/>
        <v>10584</v>
      </c>
      <c r="G14" s="18"/>
      <c r="H14" s="18">
        <f t="shared" si="0"/>
        <v>0</v>
      </c>
      <c r="I14" s="206"/>
      <c r="J14" s="18">
        <f t="shared" si="1"/>
        <v>1549.64</v>
      </c>
      <c r="K14" s="18">
        <f t="shared" si="3"/>
        <v>9034.36</v>
      </c>
      <c r="L14" s="45"/>
      <c r="M14" s="43"/>
      <c r="N14" s="44"/>
    </row>
    <row r="15" spans="2:14" ht="35.1" customHeight="1" x14ac:dyDescent="0.25">
      <c r="B15" s="4" t="s">
        <v>225</v>
      </c>
      <c r="C15" s="4" t="s">
        <v>64</v>
      </c>
      <c r="D15" s="5">
        <v>15</v>
      </c>
      <c r="E15" s="18">
        <v>10584</v>
      </c>
      <c r="F15" s="18">
        <f t="shared" si="2"/>
        <v>10584</v>
      </c>
      <c r="G15" s="18"/>
      <c r="H15" s="18">
        <f t="shared" si="0"/>
        <v>0</v>
      </c>
      <c r="I15" s="206"/>
      <c r="J15" s="18">
        <f t="shared" si="1"/>
        <v>1549.64</v>
      </c>
      <c r="K15" s="18">
        <f t="shared" si="3"/>
        <v>9034.36</v>
      </c>
      <c r="L15" s="45"/>
      <c r="M15" s="43"/>
      <c r="N15" s="44"/>
    </row>
    <row r="16" spans="2:14" ht="35.1" customHeight="1" x14ac:dyDescent="0.25">
      <c r="B16" s="4" t="s">
        <v>226</v>
      </c>
      <c r="C16" s="4" t="s">
        <v>64</v>
      </c>
      <c r="D16" s="5">
        <v>15</v>
      </c>
      <c r="E16" s="18">
        <v>10584</v>
      </c>
      <c r="F16" s="18">
        <f t="shared" si="2"/>
        <v>10584</v>
      </c>
      <c r="G16" s="18"/>
      <c r="H16" s="18">
        <v>0</v>
      </c>
      <c r="I16" s="206"/>
      <c r="J16" s="18">
        <f t="shared" si="1"/>
        <v>1549.64</v>
      </c>
      <c r="K16" s="18">
        <f t="shared" si="3"/>
        <v>9034.36</v>
      </c>
      <c r="L16" s="45"/>
      <c r="M16" s="43"/>
      <c r="N16" s="44"/>
    </row>
    <row r="17" spans="2:14" ht="35.1" customHeight="1" x14ac:dyDescent="0.25">
      <c r="B17" s="4" t="s">
        <v>236</v>
      </c>
      <c r="C17" s="4" t="s">
        <v>64</v>
      </c>
      <c r="D17" s="5">
        <v>15</v>
      </c>
      <c r="E17" s="18">
        <v>10584</v>
      </c>
      <c r="F17" s="18">
        <f t="shared" si="2"/>
        <v>10584</v>
      </c>
      <c r="G17" s="18"/>
      <c r="H17" s="18">
        <f t="shared" si="0"/>
        <v>0</v>
      </c>
      <c r="I17" s="206"/>
      <c r="J17" s="18">
        <f t="shared" si="1"/>
        <v>1549.64</v>
      </c>
      <c r="K17" s="18">
        <f t="shared" si="3"/>
        <v>9034.36</v>
      </c>
      <c r="L17" s="45"/>
      <c r="M17" s="43"/>
      <c r="N17" s="44"/>
    </row>
    <row r="18" spans="2:14" ht="35.1" customHeight="1" x14ac:dyDescent="0.25">
      <c r="B18" s="4" t="s">
        <v>227</v>
      </c>
      <c r="C18" s="4" t="s">
        <v>64</v>
      </c>
      <c r="D18" s="5">
        <v>15</v>
      </c>
      <c r="E18" s="18">
        <v>10584</v>
      </c>
      <c r="F18" s="18">
        <f t="shared" si="2"/>
        <v>10584</v>
      </c>
      <c r="G18" s="18"/>
      <c r="H18" s="18">
        <f t="shared" si="0"/>
        <v>0</v>
      </c>
      <c r="I18" s="206"/>
      <c r="J18" s="18">
        <f t="shared" si="1"/>
        <v>1549.64</v>
      </c>
      <c r="K18" s="18">
        <f t="shared" si="3"/>
        <v>9034.36</v>
      </c>
      <c r="L18" s="45"/>
      <c r="M18" s="43"/>
      <c r="N18" s="44"/>
    </row>
    <row r="19" spans="2:14" ht="35.1" customHeight="1" x14ac:dyDescent="0.25">
      <c r="B19" s="4" t="s">
        <v>228</v>
      </c>
      <c r="C19" s="4" t="s">
        <v>64</v>
      </c>
      <c r="D19" s="5">
        <v>15</v>
      </c>
      <c r="E19" s="18">
        <v>10584</v>
      </c>
      <c r="F19" s="18">
        <v>10584</v>
      </c>
      <c r="G19" s="18"/>
      <c r="H19" s="18">
        <v>0</v>
      </c>
      <c r="I19" s="206"/>
      <c r="J19" s="18">
        <v>1549.64</v>
      </c>
      <c r="K19" s="18">
        <f t="shared" si="3"/>
        <v>9034.36</v>
      </c>
      <c r="L19" s="45"/>
      <c r="M19" s="43"/>
      <c r="N19" s="44"/>
    </row>
    <row r="20" spans="2:14" ht="35.1" customHeight="1" x14ac:dyDescent="0.25">
      <c r="B20" s="4" t="s">
        <v>144</v>
      </c>
      <c r="C20" s="4" t="s">
        <v>64</v>
      </c>
      <c r="D20" s="5">
        <v>15</v>
      </c>
      <c r="E20" s="18">
        <v>10584</v>
      </c>
      <c r="F20" s="18">
        <f t="shared" si="2"/>
        <v>10584</v>
      </c>
      <c r="G20" s="18"/>
      <c r="H20" s="18">
        <v>0</v>
      </c>
      <c r="I20" s="206"/>
      <c r="J20" s="18">
        <v>1549.64</v>
      </c>
      <c r="K20" s="18">
        <f t="shared" si="3"/>
        <v>9034.36</v>
      </c>
      <c r="L20" s="45"/>
      <c r="M20" s="43"/>
      <c r="N20" s="44"/>
    </row>
    <row r="21" spans="2:14" ht="35.1" customHeight="1" x14ac:dyDescent="0.25">
      <c r="B21" s="4" t="s">
        <v>229</v>
      </c>
      <c r="C21" s="4" t="s">
        <v>65</v>
      </c>
      <c r="D21" s="5">
        <v>15</v>
      </c>
      <c r="E21" s="18">
        <v>17366.96</v>
      </c>
      <c r="F21" s="18">
        <f t="shared" si="2"/>
        <v>17366.96</v>
      </c>
      <c r="G21" s="18"/>
      <c r="H21" s="18">
        <f t="shared" ref="H21" si="4">IF(ROUND((((F21/D21*30.4)-VLOOKUP((F21/D21*30.4),TARIFA,1))*VLOOKUP((F21/D21*30.4),TARIFA,3)+VLOOKUP((F21/D21*30.4),TARIFA,2)-VLOOKUP((F21/D21*30.4),SUBSIDIO,2))/30.4*D21,2)&lt;0,ROUND(-(((F21/D21*30.4)-VLOOKUP((F21/D21*30.4),TARIFA,1))*VLOOKUP((F21/D21*30.4),TARIFA,3)+VLOOKUP((F21/D21*30.4),TARIFA,2)-VLOOKUP((F21/D21*30.4),SUBSIDIO,2))/30.4*D21,2),0)</f>
        <v>0</v>
      </c>
      <c r="I21" s="206"/>
      <c r="J21" s="18">
        <f t="shared" ref="J21" si="5">IFERROR(IF(ROUND((((F21/D21*30.4)-VLOOKUP((F21/D21*30.4),TARIFA,1))*VLOOKUP((F21/D21*30.4),TARIFA,3)+VLOOKUP((F21/D21*30.4),TARIFA,2)-VLOOKUP((F21/D21*30.4),SUBSIDIO,2))/30.4*D21,2)&gt;0,ROUND((((F21/D21*30.4)-VLOOKUP((F21/D21*30.4),TARIFA,1))*VLOOKUP((F21/D21*30.4),TARIFA,3)+VLOOKUP((F21/D21*30.4),TARIFA,2)-VLOOKUP((F21/D21*30.4),SUBSIDIO,2))/30.4*D21,2),0),0)</f>
        <v>3085.97</v>
      </c>
      <c r="K21" s="18">
        <f t="shared" si="3"/>
        <v>14280.99</v>
      </c>
      <c r="L21" s="45"/>
      <c r="M21" s="43"/>
      <c r="N21" s="44"/>
    </row>
    <row r="22" spans="2:14" x14ac:dyDescent="0.25">
      <c r="B22" s="21"/>
      <c r="C22" s="21"/>
      <c r="D22" s="22"/>
      <c r="E22" s="24"/>
      <c r="F22" s="25"/>
      <c r="G22" s="25"/>
      <c r="H22" s="25"/>
      <c r="I22" s="25"/>
      <c r="J22" s="25"/>
      <c r="K22" s="25"/>
      <c r="L22" s="35"/>
    </row>
    <row r="23" spans="2:14" ht="14.4" thickBot="1" x14ac:dyDescent="0.3">
      <c r="B23" s="431"/>
      <c r="C23" s="431"/>
      <c r="D23" s="431"/>
      <c r="E23" s="76">
        <f t="shared" ref="E23:J23" si="6">SUM(E12:E21)</f>
        <v>112622.95999999999</v>
      </c>
      <c r="F23" s="76">
        <f t="shared" si="6"/>
        <v>112622.95999999999</v>
      </c>
      <c r="G23" s="76">
        <f t="shared" si="6"/>
        <v>0</v>
      </c>
      <c r="H23" s="76">
        <f t="shared" si="6"/>
        <v>0</v>
      </c>
      <c r="I23" s="76">
        <f t="shared" si="6"/>
        <v>0</v>
      </c>
      <c r="J23" s="76">
        <f t="shared" si="6"/>
        <v>17032.73</v>
      </c>
      <c r="K23" s="76">
        <f>SUM(K12:K21)</f>
        <v>95590.23000000001</v>
      </c>
      <c r="L23" s="26"/>
    </row>
    <row r="24" spans="2:14" ht="14.4" thickTop="1" x14ac:dyDescent="0.25">
      <c r="B24" s="78"/>
      <c r="C24" s="78"/>
      <c r="D24" s="78"/>
      <c r="E24" s="80"/>
      <c r="F24" s="80"/>
      <c r="G24" s="80"/>
      <c r="H24" s="80"/>
      <c r="I24" s="80"/>
      <c r="J24" s="80"/>
      <c r="K24" s="80"/>
      <c r="L24" s="79"/>
    </row>
    <row r="25" spans="2:14" ht="13.8" x14ac:dyDescent="0.25">
      <c r="B25" s="78"/>
      <c r="C25" s="78"/>
      <c r="D25" s="78"/>
      <c r="E25" s="80"/>
      <c r="F25" s="80"/>
      <c r="G25" s="80"/>
      <c r="H25" s="80"/>
      <c r="I25" s="80"/>
      <c r="J25" s="80"/>
      <c r="K25" s="80"/>
      <c r="L25" s="79"/>
    </row>
    <row r="26" spans="2:14" ht="13.8" x14ac:dyDescent="0.25">
      <c r="B26" s="78"/>
      <c r="C26" s="78"/>
      <c r="D26" s="78"/>
      <c r="E26" s="80"/>
      <c r="F26" s="80"/>
      <c r="G26" s="80"/>
      <c r="H26" s="80"/>
      <c r="I26" s="80"/>
      <c r="J26" s="80"/>
      <c r="K26" s="80"/>
      <c r="L26" s="79"/>
    </row>
    <row r="27" spans="2:14" ht="13.8" x14ac:dyDescent="0.25">
      <c r="B27" s="78"/>
      <c r="C27" s="78"/>
      <c r="D27" s="78"/>
      <c r="E27" s="80"/>
      <c r="F27" s="80"/>
      <c r="G27" s="80"/>
      <c r="H27" s="80"/>
      <c r="I27" s="80"/>
      <c r="J27" s="80"/>
      <c r="K27" s="80"/>
      <c r="L27" s="79"/>
    </row>
    <row r="28" spans="2:14" ht="13.8" x14ac:dyDescent="0.25">
      <c r="B28" s="78"/>
      <c r="C28" s="78"/>
      <c r="D28" s="78"/>
      <c r="E28" s="80"/>
      <c r="F28" s="80"/>
      <c r="G28" s="80"/>
      <c r="H28" s="80"/>
      <c r="I28" s="80"/>
      <c r="J28" s="80"/>
      <c r="K28" s="80"/>
      <c r="L28" s="79"/>
    </row>
    <row r="31" spans="2:14" x14ac:dyDescent="0.25">
      <c r="B31" s="27" t="s">
        <v>97</v>
      </c>
      <c r="K31" s="27" t="s">
        <v>97</v>
      </c>
    </row>
    <row r="32" spans="2:14" x14ac:dyDescent="0.25">
      <c r="B32" s="27" t="s">
        <v>230</v>
      </c>
      <c r="K32" s="14" t="s">
        <v>231</v>
      </c>
    </row>
    <row r="33" spans="2:11" x14ac:dyDescent="0.25">
      <c r="B33" s="28" t="s">
        <v>9</v>
      </c>
      <c r="E33" s="28"/>
      <c r="F33" s="28"/>
      <c r="G33" s="28"/>
      <c r="H33" s="28"/>
      <c r="I33" s="28"/>
      <c r="J33" s="28"/>
      <c r="K33" s="28" t="s">
        <v>232</v>
      </c>
    </row>
    <row r="35" spans="2:11" x14ac:dyDescent="0.25">
      <c r="B35" s="31"/>
      <c r="D35" s="27"/>
    </row>
    <row r="36" spans="2:11" x14ac:dyDescent="0.25">
      <c r="B36" s="32"/>
      <c r="C36" s="28"/>
      <c r="D36" s="28"/>
      <c r="E36" s="28"/>
      <c r="F36" s="28"/>
      <c r="G36" s="28"/>
      <c r="H36" s="28"/>
      <c r="I36" s="28"/>
      <c r="J36" s="28"/>
      <c r="K36" s="28"/>
    </row>
    <row r="40" spans="2:11" x14ac:dyDescent="0.25">
      <c r="B40" s="27"/>
    </row>
    <row r="41" spans="2:11" x14ac:dyDescent="0.25">
      <c r="B41" s="28"/>
      <c r="C41" s="28"/>
      <c r="D41" s="28"/>
      <c r="E41" s="28"/>
      <c r="F41" s="28"/>
      <c r="G41" s="28"/>
      <c r="H41" s="28"/>
      <c r="I41" s="28"/>
      <c r="J41" s="28"/>
      <c r="K41" s="28"/>
    </row>
  </sheetData>
  <sheetProtection selectLockedCells="1" selectUnlockedCells="1"/>
  <mergeCells count="6">
    <mergeCell ref="B23:D23"/>
    <mergeCell ref="B6:K6"/>
    <mergeCell ref="G7:K7"/>
    <mergeCell ref="B3:L3"/>
    <mergeCell ref="B5:L5"/>
    <mergeCell ref="B4:L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Q144"/>
  <sheetViews>
    <sheetView topLeftCell="A35" zoomScaleNormal="100" workbookViewId="0">
      <selection activeCell="D1" sqref="D1:E1048576"/>
    </sheetView>
  </sheetViews>
  <sheetFormatPr baseColWidth="10" defaultColWidth="11.44140625" defaultRowHeight="13.2" x14ac:dyDescent="0.25"/>
  <cols>
    <col min="1" max="1" width="10.33203125" style="14" customWidth="1"/>
    <col min="2" max="2" width="5.21875" style="14" customWidth="1"/>
    <col min="3" max="3" width="1.21875" style="14" customWidth="1"/>
    <col min="4" max="4" width="50.109375" style="14" customWidth="1"/>
    <col min="5" max="5" width="36.44140625" style="14" customWidth="1"/>
    <col min="6" max="6" width="6.5546875" style="14" customWidth="1"/>
    <col min="7" max="7" width="13.33203125" style="14" bestFit="1" customWidth="1"/>
    <col min="8" max="8" width="14.6640625" style="14" bestFit="1" customWidth="1"/>
    <col min="9" max="9" width="12" style="43" bestFit="1" customWidth="1"/>
    <col min="10" max="10" width="12" style="14" bestFit="1" customWidth="1"/>
    <col min="11" max="11" width="11.33203125" style="14" hidden="1" customWidth="1"/>
    <col min="12" max="12" width="14.6640625" style="14" bestFit="1" customWidth="1"/>
    <col min="13" max="13" width="58.109375" style="14" customWidth="1"/>
    <col min="14" max="15" width="11.44140625" style="14"/>
    <col min="16" max="16" width="12.88671875" style="14" bestFit="1" customWidth="1"/>
    <col min="17" max="16384" width="11.44140625" style="14"/>
  </cols>
  <sheetData>
    <row r="2" spans="4:17" x14ac:dyDescent="0.25">
      <c r="D2" s="39"/>
      <c r="E2" s="39"/>
      <c r="F2" s="39"/>
      <c r="G2" s="39"/>
      <c r="H2" s="39"/>
      <c r="I2" s="207"/>
      <c r="J2" s="39"/>
      <c r="K2" s="39"/>
      <c r="L2" s="39"/>
      <c r="M2" s="40"/>
      <c r="P2" s="43"/>
    </row>
    <row r="3" spans="4:17" ht="18" customHeight="1" x14ac:dyDescent="0.3">
      <c r="D3" s="444"/>
      <c r="E3" s="444"/>
      <c r="F3" s="444"/>
      <c r="G3" s="444"/>
      <c r="H3" s="444"/>
      <c r="I3" s="444"/>
      <c r="J3" s="444"/>
      <c r="K3" s="444"/>
      <c r="L3" s="444"/>
      <c r="M3" s="449"/>
      <c r="P3" s="43"/>
    </row>
    <row r="4" spans="4:17" ht="18" customHeight="1" x14ac:dyDescent="0.3">
      <c r="D4" s="444"/>
      <c r="E4" s="444"/>
      <c r="F4" s="444"/>
      <c r="G4" s="444"/>
      <c r="H4" s="444"/>
      <c r="I4" s="444"/>
      <c r="J4" s="444"/>
      <c r="K4" s="444"/>
      <c r="L4" s="444"/>
      <c r="M4" s="449"/>
      <c r="P4" s="43"/>
    </row>
    <row r="5" spans="4:17" ht="18" customHeight="1" x14ac:dyDescent="0.3">
      <c r="D5" s="444"/>
      <c r="E5" s="444"/>
      <c r="F5" s="444"/>
      <c r="G5" s="444"/>
      <c r="H5" s="444"/>
      <c r="I5" s="444"/>
      <c r="J5" s="444"/>
      <c r="K5" s="444"/>
      <c r="L5" s="444"/>
      <c r="M5" s="449"/>
      <c r="P5" s="43"/>
    </row>
    <row r="6" spans="4:17" ht="18" customHeight="1" x14ac:dyDescent="0.3">
      <c r="D6" s="444"/>
      <c r="E6" s="444"/>
      <c r="F6" s="444"/>
      <c r="G6" s="444"/>
      <c r="H6" s="444"/>
      <c r="I6" s="444"/>
      <c r="J6" s="444"/>
      <c r="K6" s="444"/>
      <c r="L6" s="444"/>
      <c r="M6" s="449"/>
    </row>
    <row r="7" spans="4:17" x14ac:dyDescent="0.25">
      <c r="D7" s="269"/>
      <c r="E7" s="269"/>
      <c r="F7" s="263" t="s">
        <v>3</v>
      </c>
      <c r="G7" s="270"/>
      <c r="H7" s="445" t="s">
        <v>120</v>
      </c>
      <c r="I7" s="446"/>
      <c r="J7" s="445"/>
      <c r="K7" s="447"/>
      <c r="L7" s="447"/>
      <c r="M7" s="263"/>
    </row>
    <row r="8" spans="4:17" ht="12.75" customHeight="1" x14ac:dyDescent="0.25">
      <c r="D8" s="259"/>
      <c r="E8" s="259"/>
      <c r="F8" s="262" t="s">
        <v>4</v>
      </c>
      <c r="G8" s="263" t="s">
        <v>1</v>
      </c>
      <c r="H8" s="263" t="s">
        <v>121</v>
      </c>
      <c r="I8" s="271" t="s">
        <v>124</v>
      </c>
      <c r="J8" s="264"/>
      <c r="K8" s="264" t="s">
        <v>138</v>
      </c>
      <c r="L8" s="264" t="s">
        <v>123</v>
      </c>
      <c r="M8" s="259" t="s">
        <v>128</v>
      </c>
    </row>
    <row r="9" spans="4:17" ht="13.8" x14ac:dyDescent="0.25">
      <c r="D9" s="265"/>
      <c r="E9" s="265" t="s">
        <v>8</v>
      </c>
      <c r="F9" s="259"/>
      <c r="G9" s="259" t="s">
        <v>6</v>
      </c>
      <c r="H9" s="259" t="s">
        <v>123</v>
      </c>
      <c r="I9" s="272" t="s">
        <v>125</v>
      </c>
      <c r="J9" s="263" t="s">
        <v>126</v>
      </c>
      <c r="K9" s="263" t="s">
        <v>139</v>
      </c>
      <c r="L9" s="263" t="s">
        <v>129</v>
      </c>
      <c r="M9" s="259"/>
    </row>
    <row r="10" spans="4:17" ht="13.8" x14ac:dyDescent="0.25">
      <c r="D10" s="267" t="s">
        <v>10</v>
      </c>
      <c r="E10" s="267" t="s">
        <v>7</v>
      </c>
      <c r="F10" s="264"/>
      <c r="G10" s="264"/>
      <c r="H10" s="264"/>
      <c r="I10" s="273"/>
      <c r="J10" s="264"/>
      <c r="K10" s="264"/>
      <c r="L10" s="264"/>
      <c r="M10" s="264"/>
    </row>
    <row r="11" spans="4:17" s="17" customFormat="1" ht="15.6" x14ac:dyDescent="0.3">
      <c r="D11" s="87" t="s">
        <v>16</v>
      </c>
      <c r="E11" s="87"/>
      <c r="F11" s="87"/>
      <c r="G11" s="87"/>
      <c r="H11" s="87"/>
      <c r="I11" s="208"/>
      <c r="J11" s="87"/>
      <c r="K11" s="87"/>
      <c r="L11" s="87"/>
      <c r="M11" s="15"/>
    </row>
    <row r="12" spans="4:17" ht="32.1" customHeight="1" x14ac:dyDescent="0.25">
      <c r="D12" s="96" t="s">
        <v>233</v>
      </c>
      <c r="E12" s="96" t="s">
        <v>234</v>
      </c>
      <c r="F12" s="95">
        <v>15</v>
      </c>
      <c r="G12" s="91">
        <v>22350</v>
      </c>
      <c r="H12" s="91">
        <v>22350</v>
      </c>
      <c r="I12" s="209">
        <f>IFERROR(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,0)</f>
        <v>0</v>
      </c>
      <c r="J12" s="91">
        <f t="shared" ref="J12:J17" si="0"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4346.18</v>
      </c>
      <c r="K12" s="91">
        <v>0</v>
      </c>
      <c r="L12" s="91">
        <f>H12+I12-J12</f>
        <v>18003.82</v>
      </c>
      <c r="M12" s="18"/>
      <c r="P12" s="43"/>
      <c r="Q12" s="44"/>
    </row>
    <row r="13" spans="4:17" ht="32.1" hidden="1" customHeight="1" x14ac:dyDescent="0.25">
      <c r="D13" s="96"/>
      <c r="E13" s="233"/>
      <c r="F13" s="95"/>
      <c r="G13" s="91">
        <v>21811</v>
      </c>
      <c r="H13" s="91">
        <v>21811</v>
      </c>
      <c r="I13" s="209"/>
      <c r="J13" s="91">
        <f t="shared" si="0"/>
        <v>0</v>
      </c>
      <c r="K13" s="91"/>
      <c r="L13" s="91"/>
      <c r="M13" s="18"/>
      <c r="P13" s="43"/>
      <c r="Q13" s="44"/>
    </row>
    <row r="14" spans="4:17" ht="32.1" customHeight="1" x14ac:dyDescent="0.25">
      <c r="D14" s="96" t="s">
        <v>237</v>
      </c>
      <c r="E14" s="96" t="s">
        <v>215</v>
      </c>
      <c r="F14" s="247">
        <v>15</v>
      </c>
      <c r="G14" s="91">
        <v>6726</v>
      </c>
      <c r="H14" s="91">
        <v>6726</v>
      </c>
      <c r="I14" s="209">
        <f>IFERROR(IF(ROUND((((H14/F14*30.4)-VLOOKUP((H14/F14*30.4),TARIFA,1))*VLOOKUP((H14/F14*30.4),TARIFA,3)+VLOOKUP((H14/F14*30.4),TARIFA,2)-VLOOKUP((H14/F14*30.4),SUBSIDIO,2))/30.4*F14,2)&lt;0,ROUND(-(((H14/F14*30.4)-VLOOKUP((H14/F14*30.4),TARIFA,1))*VLOOKUP((H14/F14*30.4),TARIFA,3)+VLOOKUP((H14/F14*30.4),TARIFA,2)-VLOOKUP((H14/F14*30.4),SUBSIDIO,2))/30.4*F14,2),0),0)</f>
        <v>0</v>
      </c>
      <c r="J14" s="91">
        <f t="shared" si="0"/>
        <v>725.57</v>
      </c>
      <c r="K14" s="91"/>
      <c r="L14" s="91">
        <f t="shared" ref="L14:L29" si="1">H14+I14-J14</f>
        <v>6000.43</v>
      </c>
      <c r="M14" s="18"/>
      <c r="P14" s="43"/>
      <c r="Q14" s="44"/>
    </row>
    <row r="15" spans="4:17" ht="32.1" customHeight="1" x14ac:dyDescent="0.3">
      <c r="D15" s="98" t="s">
        <v>238</v>
      </c>
      <c r="E15" s="96"/>
      <c r="F15" s="240"/>
      <c r="G15" s="241"/>
      <c r="H15" s="241"/>
      <c r="I15" s="209"/>
      <c r="J15" s="91"/>
      <c r="K15" s="91"/>
      <c r="L15" s="91"/>
      <c r="M15" s="18"/>
      <c r="P15" s="43"/>
      <c r="Q15" s="44"/>
    </row>
    <row r="16" spans="4:17" ht="32.1" customHeight="1" x14ac:dyDescent="0.25">
      <c r="D16" s="96" t="s">
        <v>239</v>
      </c>
      <c r="E16" s="96" t="s">
        <v>222</v>
      </c>
      <c r="F16" s="240">
        <v>15</v>
      </c>
      <c r="G16" s="241">
        <v>9905</v>
      </c>
      <c r="H16" s="241">
        <v>9905</v>
      </c>
      <c r="I16" s="209"/>
      <c r="J16" s="91">
        <f t="shared" si="0"/>
        <v>1404.61</v>
      </c>
      <c r="K16" s="91"/>
      <c r="L16" s="91">
        <f t="shared" si="1"/>
        <v>8500.39</v>
      </c>
      <c r="M16" s="18"/>
      <c r="P16" s="43"/>
      <c r="Q16" s="44"/>
    </row>
    <row r="17" spans="4:17" ht="32.1" customHeight="1" x14ac:dyDescent="0.25">
      <c r="D17" s="96" t="s">
        <v>102</v>
      </c>
      <c r="E17" s="248" t="s">
        <v>378</v>
      </c>
      <c r="F17" s="132">
        <v>15</v>
      </c>
      <c r="G17" s="90">
        <v>3908</v>
      </c>
      <c r="H17" s="90">
        <v>3908</v>
      </c>
      <c r="I17" s="209">
        <f>IFERROR(IF(ROUND((((H17/F17*30.4)-VLOOKUP((H17/F17*30.4),TARIFA,1))*VLOOKUP((H17/F17*30.4),TARIFA,3)+VLOOKUP((H17/F17*30.4),TARIFA,2)-VLOOKUP((H17/F17*30.4),SUBSIDIO,2))/30.4*F17,2)&lt;0,ROUND(-(((H17/F17*30.4)-VLOOKUP((H17/F17*30.4),TARIFA,1))*VLOOKUP((H17/F17*30.4),TARIFA,3)+VLOOKUP((H17/F17*30.4),TARIFA,2)-VLOOKUP((H17/F17*30.4),SUBSIDIO,2))/30.4*F17,2),0),0)</f>
        <v>0</v>
      </c>
      <c r="J17" s="91">
        <f t="shared" si="0"/>
        <v>290</v>
      </c>
      <c r="K17" s="91">
        <v>0</v>
      </c>
      <c r="L17" s="91">
        <f t="shared" si="1"/>
        <v>3618</v>
      </c>
      <c r="M17" s="18"/>
      <c r="P17" s="43"/>
      <c r="Q17" s="44"/>
    </row>
    <row r="18" spans="4:17" ht="32.1" customHeight="1" x14ac:dyDescent="0.3">
      <c r="D18" s="98" t="s">
        <v>113</v>
      </c>
      <c r="E18" s="249"/>
      <c r="F18" s="250"/>
      <c r="G18" s="251"/>
      <c r="H18" s="252"/>
      <c r="I18" s="253"/>
      <c r="J18" s="92"/>
      <c r="K18" s="91"/>
      <c r="L18" s="91"/>
      <c r="M18" s="18"/>
      <c r="P18" s="43"/>
      <c r="Q18" s="44"/>
    </row>
    <row r="19" spans="4:17" ht="32.1" customHeight="1" x14ac:dyDescent="0.25">
      <c r="D19" s="96" t="s">
        <v>240</v>
      </c>
      <c r="E19" s="96" t="s">
        <v>15</v>
      </c>
      <c r="F19" s="95">
        <v>15</v>
      </c>
      <c r="G19" s="91">
        <v>8890</v>
      </c>
      <c r="H19" s="91">
        <v>8890</v>
      </c>
      <c r="I19" s="209">
        <f>IFERROR(IF(ROUND((((H19/F19*30.4)-VLOOKUP((H19/F19*30.4),TARIFA,1))*VLOOKUP((H19/F19*30.4),TARIFA,3)+VLOOKUP((H19/F19*30.4),TARIFA,2)-VLOOKUP((H19/F19*30.4),SUBSIDIO,2))/30.4*F19,2)&lt;0,ROUND(-(((H19/F19*30.4)-VLOOKUP((H19/F19*30.4),TARIFA,1))*VLOOKUP((H19/F19*30.4),TARIFA,3)+VLOOKUP((H19/F19*30.4),TARIFA,2)-VLOOKUP((H19/F19*30.4),SUBSIDIO,2))/30.4*F19,2),0),0)</f>
        <v>0</v>
      </c>
      <c r="J19" s="91">
        <f>IFERROR(IF(ROUND((((H19/F19*30.4)-VLOOKUP((H19/F19*30.4),TARIFA,1))*VLOOKUP((H19/F19*30.4),TARIFA,3)+VLOOKUP((H19/F19*30.4),TARIFA,2)-VLOOKUP((H19/F19*30.4),SUBSIDIO,2))/30.4*F19,2)&gt;0,ROUND((((H19/F19*30.4)-VLOOKUP((H19/F19*30.4),TARIFA,1))*VLOOKUP((H19/F19*30.4),TARIFA,3)+VLOOKUP((H19/F19*30.4),TARIFA,2)-VLOOKUP((H19/F19*30.4),SUBSIDIO,2))/30.4*F19,2),0),0)</f>
        <v>1187.8</v>
      </c>
      <c r="K19" s="91">
        <v>0</v>
      </c>
      <c r="L19" s="91">
        <f t="shared" si="1"/>
        <v>7702.2</v>
      </c>
      <c r="M19" s="18"/>
      <c r="P19" s="43"/>
      <c r="Q19" s="44"/>
    </row>
    <row r="20" spans="4:17" ht="32.1" customHeight="1" x14ac:dyDescent="0.25">
      <c r="D20" s="96" t="s">
        <v>11</v>
      </c>
      <c r="E20" s="96" t="s">
        <v>12</v>
      </c>
      <c r="F20" s="95">
        <v>15</v>
      </c>
      <c r="G20" s="91">
        <v>4144</v>
      </c>
      <c r="H20" s="91">
        <v>4144</v>
      </c>
      <c r="I20" s="209">
        <f>IFERROR(IF(ROUND((((H20/F20*30.4)-VLOOKUP((H20/F20*30.4),TARIFA,1))*VLOOKUP((H20/F20*30.4),TARIFA,3)+VLOOKUP((H20/F20*30.4),TARIFA,2)-VLOOKUP((H20/F20*30.4),SUBSIDIO,2))/30.4*F20,2)&lt;0,ROUND(-(((H20/F20*30.4)-VLOOKUP((H20/F20*30.4),TARIFA,1))*VLOOKUP((H20/F20*30.4),TARIFA,3)+VLOOKUP((H20/F20*30.4),TARIFA,2)-VLOOKUP((H20/F20*30.4),SUBSIDIO,2))/30.4*F20,2),0),0)</f>
        <v>0</v>
      </c>
      <c r="J20" s="91">
        <f>IFERROR(IF(ROUND((((H20/F20*30.4)-VLOOKUP((H20/F20*30.4),TARIFA,1))*VLOOKUP((H20/F20*30.4),TARIFA,3)+VLOOKUP((H20/F20*30.4),TARIFA,2)-VLOOKUP((H20/F20*30.4),SUBSIDIO,2))/30.4*F20,2)&gt;0,ROUND((((H20/F20*30.4)-VLOOKUP((H20/F20*30.4),TARIFA,1))*VLOOKUP((H20/F20*30.4),TARIFA,3)+VLOOKUP((H20/F20*30.4),TARIFA,2)-VLOOKUP((H20/F20*30.4),SUBSIDIO,2))/30.4*F20,2),0),0)</f>
        <v>315.68</v>
      </c>
      <c r="K20" s="91">
        <v>0</v>
      </c>
      <c r="L20" s="91">
        <f t="shared" si="1"/>
        <v>3828.32</v>
      </c>
      <c r="M20" s="18"/>
      <c r="P20" s="43"/>
      <c r="Q20" s="44"/>
    </row>
    <row r="21" spans="4:17" ht="32.1" customHeight="1" x14ac:dyDescent="0.25">
      <c r="D21" s="96" t="s">
        <v>47</v>
      </c>
      <c r="E21" s="96" t="s">
        <v>59</v>
      </c>
      <c r="F21" s="95">
        <v>15</v>
      </c>
      <c r="G21" s="91">
        <v>3690</v>
      </c>
      <c r="H21" s="91">
        <v>3690</v>
      </c>
      <c r="I21" s="209">
        <f>IFERROR(IF(ROUND((((H21/F21*30.4)-VLOOKUP((H21/F21*30.4),TARIFA,1))*VLOOKUP((H21/F21*30.4),TARIFA,3)+VLOOKUP((H21/F21*30.4),TARIFA,2)-VLOOKUP((H21/F21*30.4),SUBSIDIO,2))/30.4*F21,2)&lt;0,ROUND(-(((H21/F21*30.4)-VLOOKUP((H21/F21*30.4),TARIFA,1))*VLOOKUP((H21/F21*30.4),TARIFA,3)+VLOOKUP((H21/F21*30.4),TARIFA,2)-VLOOKUP((H21/F21*30.4),SUBSIDIO,2))/30.4*F21,2),0),0)</f>
        <v>0</v>
      </c>
      <c r="J21" s="91">
        <f>IFERROR(IF(ROUND((((H21/F21*30.4)-VLOOKUP((H21/F21*30.4),TARIFA,1))*VLOOKUP((H21/F21*30.4),TARIFA,3)+VLOOKUP((H21/F21*30.4),TARIFA,2)-VLOOKUP((H21/F21*30.4),SUBSIDIO,2))/30.4*F21,2)&gt;0,ROUND((((H21/F21*30.4)-VLOOKUP((H21/F21*30.4),TARIFA,1))*VLOOKUP((H21/F21*30.4),TARIFA,3)+VLOOKUP((H21/F21*30.4),TARIFA,2)-VLOOKUP((H21/F21*30.4),SUBSIDIO,2))/30.4*F21,2),0),0)</f>
        <v>266.29000000000002</v>
      </c>
      <c r="K21" s="91">
        <v>0</v>
      </c>
      <c r="L21" s="91">
        <f t="shared" si="1"/>
        <v>3423.71</v>
      </c>
      <c r="M21" s="18"/>
      <c r="P21" s="43"/>
      <c r="Q21" s="44"/>
    </row>
    <row r="22" spans="4:17" ht="32.1" customHeight="1" x14ac:dyDescent="0.3">
      <c r="D22" s="98" t="s">
        <v>17</v>
      </c>
      <c r="E22" s="96"/>
      <c r="F22" s="95"/>
      <c r="G22" s="91"/>
      <c r="H22" s="91"/>
      <c r="I22" s="209"/>
      <c r="J22" s="91"/>
      <c r="K22" s="91"/>
      <c r="L22" s="91"/>
      <c r="M22" s="18"/>
      <c r="P22" s="43"/>
      <c r="Q22" s="44"/>
    </row>
    <row r="23" spans="4:17" ht="32.1" customHeight="1" x14ac:dyDescent="0.25">
      <c r="D23" s="96" t="s">
        <v>278</v>
      </c>
      <c r="E23" s="96" t="s">
        <v>279</v>
      </c>
      <c r="F23" s="95">
        <v>15</v>
      </c>
      <c r="G23" s="90">
        <v>3888</v>
      </c>
      <c r="H23" s="90">
        <v>3888</v>
      </c>
      <c r="I23" s="209">
        <f>IFERROR(IF(ROUND((((H23/F23*30.4)-VLOOKUP((H23/F23*30.4),TARIFA,1))*VLOOKUP((H23/F23*30.4),TARIFA,3)+VLOOKUP((H23/F23*30.4),TARIFA,2)-VLOOKUP((H23/F23*30.4),SUBSIDIO,2))/30.4*F23,2)&lt;0,ROUND(-(((H23/F23*30.4)-VLOOKUP((H23/F23*30.4),TARIFA,1))*VLOOKUP((H23/F23*30.4),TARIFA,3)+VLOOKUP((H23/F23*30.4),TARIFA,2)-VLOOKUP((H23/F23*30.4),SUBSIDIO,2))/30.4*F23,2),0),0)</f>
        <v>0</v>
      </c>
      <c r="J23" s="91">
        <f>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</f>
        <v>287.83</v>
      </c>
      <c r="K23" s="91">
        <v>0</v>
      </c>
      <c r="L23" s="91">
        <f t="shared" ref="L23" si="2">H23+I23-J23</f>
        <v>3600.17</v>
      </c>
      <c r="M23" s="18"/>
      <c r="P23" s="43"/>
      <c r="Q23" s="44"/>
    </row>
    <row r="24" spans="4:17" ht="32.1" customHeight="1" x14ac:dyDescent="0.25">
      <c r="D24" s="96" t="s">
        <v>18</v>
      </c>
      <c r="E24" s="233" t="s">
        <v>158</v>
      </c>
      <c r="F24" s="95">
        <v>15</v>
      </c>
      <c r="G24" s="91">
        <v>4383</v>
      </c>
      <c r="H24" s="91">
        <v>4383</v>
      </c>
      <c r="I24" s="209">
        <f>IFERROR(IF(ROUND((((H24/F24*30.4)-VLOOKUP((H24/F24*30.4),TARIFA,1))*VLOOKUP((H24/F24*30.4),TARIFA,3)+VLOOKUP((H24/F24*30.4),TARIFA,2)-VLOOKUP((H24/F24*30.4),SUBSIDIO,2))/30.4*F24,2)&lt;0,ROUND(-(((H24/F24*30.4)-VLOOKUP((H24/F24*30.4),TARIFA,1))*VLOOKUP((H24/F24*30.4),TARIFA,3)+VLOOKUP((H24/F24*30.4),TARIFA,2)-VLOOKUP((H24/F24*30.4),SUBSIDIO,2))/30.4*F24,2),0),0)</f>
        <v>0</v>
      </c>
      <c r="J24" s="91">
        <v>339.88</v>
      </c>
      <c r="K24" s="91">
        <v>0</v>
      </c>
      <c r="L24" s="91">
        <f t="shared" ref="L24" si="3">H24+I24-J24</f>
        <v>4043.12</v>
      </c>
      <c r="M24" s="18"/>
      <c r="P24" s="43"/>
      <c r="Q24" s="44"/>
    </row>
    <row r="25" spans="4:17" ht="32.1" customHeight="1" x14ac:dyDescent="0.3">
      <c r="D25" s="98" t="s">
        <v>270</v>
      </c>
      <c r="E25" s="96"/>
      <c r="F25" s="95"/>
      <c r="G25" s="91"/>
      <c r="H25" s="91"/>
      <c r="I25" s="209"/>
      <c r="J25" s="91"/>
      <c r="K25" s="91"/>
      <c r="L25" s="91"/>
      <c r="M25" s="18"/>
      <c r="P25" s="43"/>
      <c r="Q25" s="44"/>
    </row>
    <row r="26" spans="4:17" ht="32.1" customHeight="1" x14ac:dyDescent="0.25">
      <c r="D26" s="96" t="s">
        <v>105</v>
      </c>
      <c r="E26" s="96" t="s">
        <v>80</v>
      </c>
      <c r="F26" s="95">
        <v>15</v>
      </c>
      <c r="G26" s="91">
        <v>3908</v>
      </c>
      <c r="H26" s="91">
        <v>3908</v>
      </c>
      <c r="I26" s="209">
        <f>IFERROR(IF(ROUND((((H26/F26*30.4)-VLOOKUP((H26/F26*30.4),TARIFA,1))*VLOOKUP((H26/F26*30.4),TARIFA,3)+VLOOKUP((H26/F26*30.4),TARIFA,2)-VLOOKUP((H26/F26*30.4),SUBSIDIO,2))/30.4*F26,2)&lt;0,ROUND(-(((H26/F26*30.4)-VLOOKUP((H26/F26*30.4),TARIFA,1))*VLOOKUP((H26/F26*30.4),TARIFA,3)+VLOOKUP((H26/F26*30.4),TARIFA,2)-VLOOKUP((H26/F26*30.4),SUBSIDIO,2))/30.4*F26,2),0),0)</f>
        <v>0</v>
      </c>
      <c r="J26" s="91">
        <f>IFERROR(IF(ROUND((((H26/F26*30.4)-VLOOKUP((H26/F26*30.4),TARIFA,1))*VLOOKUP((H26/F26*30.4),TARIFA,3)+VLOOKUP((H26/F26*30.4),TARIFA,2)-VLOOKUP((H26/F26*30.4),SUBSIDIO,2))/30.4*F26,2)&gt;0,ROUND((((H26/F26*30.4)-VLOOKUP((H26/F26*30.4),TARIFA,1))*VLOOKUP((H26/F26*30.4),TARIFA,3)+VLOOKUP((H26/F26*30.4),TARIFA,2)-VLOOKUP((H26/F26*30.4),SUBSIDIO,2))/30.4*F26,2),0),0)</f>
        <v>290</v>
      </c>
      <c r="K26" s="91">
        <v>0</v>
      </c>
      <c r="L26" s="91">
        <f t="shared" si="1"/>
        <v>3618</v>
      </c>
      <c r="M26" s="18"/>
      <c r="P26" s="43"/>
      <c r="Q26" s="44"/>
    </row>
    <row r="27" spans="4:17" ht="32.1" customHeight="1" x14ac:dyDescent="0.3">
      <c r="D27" s="98" t="s">
        <v>324</v>
      </c>
      <c r="E27" s="96"/>
      <c r="F27" s="95"/>
      <c r="G27" s="91"/>
      <c r="H27" s="91"/>
      <c r="I27" s="209"/>
      <c r="J27" s="91"/>
      <c r="K27" s="91"/>
      <c r="L27" s="91"/>
      <c r="M27" s="18"/>
      <c r="P27" s="43"/>
      <c r="Q27" s="44"/>
    </row>
    <row r="28" spans="4:17" ht="32.1" customHeight="1" x14ac:dyDescent="0.25">
      <c r="D28" s="96" t="s">
        <v>115</v>
      </c>
      <c r="E28" s="96" t="s">
        <v>366</v>
      </c>
      <c r="F28" s="95">
        <v>15</v>
      </c>
      <c r="G28" s="91">
        <v>3908</v>
      </c>
      <c r="H28" s="91">
        <v>3908</v>
      </c>
      <c r="I28" s="209">
        <f>IFERROR(IF(ROUND((((H28/F28*30.4)-VLOOKUP((H28/F28*30.4),TARIFA,1))*VLOOKUP((H28/F28*30.4),TARIFA,3)+VLOOKUP((H28/F28*30.4),TARIFA,2)-VLOOKUP((H28/F28*30.4),SUBSIDIO,2))/30.4*F28,2)&lt;0,ROUND(-(((H28/F28*30.4)-VLOOKUP((H28/F28*30.4),TARIFA,1))*VLOOKUP((H28/F28*30.4),TARIFA,3)+VLOOKUP((H28/F28*30.4),TARIFA,2)-VLOOKUP((H28/F28*30.4),SUBSIDIO,2))/30.4*F28,2),0),0)</f>
        <v>0</v>
      </c>
      <c r="J28" s="91">
        <f>IFERROR(IF(ROUND((((H28/F28*30.4)-VLOOKUP((H28/F28*30.4),TARIFA,1))*VLOOKUP((H28/F28*30.4),TARIFA,3)+VLOOKUP((H28/F28*30.4),TARIFA,2)-VLOOKUP((H28/F28*30.4),SUBSIDIO,2))/30.4*F28,2)&gt;0,ROUND((((H28/F28*30.4)-VLOOKUP((H28/F28*30.4),TARIFA,1))*VLOOKUP((H28/F28*30.4),TARIFA,3)+VLOOKUP((H28/F28*30.4),TARIFA,2)-VLOOKUP((H28/F28*30.4),SUBSIDIO,2))/30.4*F28,2),0),0)</f>
        <v>290</v>
      </c>
      <c r="K28" s="91">
        <v>0</v>
      </c>
      <c r="L28" s="91">
        <f t="shared" si="1"/>
        <v>3618</v>
      </c>
      <c r="M28" s="18"/>
      <c r="P28" s="43"/>
      <c r="Q28" s="44"/>
    </row>
    <row r="29" spans="4:17" ht="32.1" customHeight="1" x14ac:dyDescent="0.25">
      <c r="D29" s="96" t="s">
        <v>106</v>
      </c>
      <c r="E29" s="96" t="s">
        <v>107</v>
      </c>
      <c r="F29" s="95">
        <v>15</v>
      </c>
      <c r="G29" s="90">
        <v>2592</v>
      </c>
      <c r="H29" s="249">
        <v>2592</v>
      </c>
      <c r="I29" s="209">
        <f>IFERROR(IF(ROUND((((H29/F29*30.4)-VLOOKUP((H29/F29*30.4),TARIFA,1))*VLOOKUP((H29/F29*30.4),TARIFA,3)+VLOOKUP((H29/F29*30.4),TARIFA,2)-VLOOKUP((H29/F29*30.4),SUBSIDIO,2))/30.4*F29,2)&lt;0,ROUND(-(((H29/F29*30.4)-VLOOKUP((H29/F29*30.4),TARIFA,1))*VLOOKUP((H29/F29*30.4),TARIFA,3)+VLOOKUP((H29/F29*30.4),TARIFA,2)-VLOOKUP((H29/F29*30.4),SUBSIDIO,2))/30.4*F29,2),0),0)</f>
        <v>8.66</v>
      </c>
      <c r="J29" s="91">
        <f>IFERROR(IF(ROUND((((H29/F29*30.4)-VLOOKUP((H29/F29*30.4),TARIFA,1))*VLOOKUP((H29/F29*30.4),TARIFA,3)+VLOOKUP((H29/F29*30.4),TARIFA,2)-VLOOKUP((H29/F29*30.4),SUBSIDIO,2))/30.4*F29,2)&gt;0,ROUND((((H29/F29*30.4)-VLOOKUP((H29/F29*30.4),TARIFA,1))*VLOOKUP((H29/F29*30.4),TARIFA,3)+VLOOKUP((H29/F29*30.4),TARIFA,2)-VLOOKUP((H29/F29*30.4),SUBSIDIO,2))/30.4*F29,2),0),0)</f>
        <v>0</v>
      </c>
      <c r="K29" s="90">
        <v>0</v>
      </c>
      <c r="L29" s="91">
        <f t="shared" si="1"/>
        <v>2600.66</v>
      </c>
      <c r="M29" s="18"/>
      <c r="P29" s="43"/>
      <c r="Q29" s="44"/>
    </row>
    <row r="30" spans="4:17" ht="32.1" customHeight="1" x14ac:dyDescent="0.25">
      <c r="D30" s="96" t="s">
        <v>13</v>
      </c>
      <c r="E30" s="96" t="s">
        <v>14</v>
      </c>
      <c r="F30" s="95">
        <v>15</v>
      </c>
      <c r="G30" s="90">
        <v>2830</v>
      </c>
      <c r="H30" s="249">
        <v>2830</v>
      </c>
      <c r="I30" s="209">
        <f>IFERROR(IF(ROUND((((H30/F30*30.4)-VLOOKUP((H30/F30*30.4),TARIFA,1))*VLOOKUP((H30/F30*30.4),TARIFA,3)+VLOOKUP((H30/F30*30.4),TARIFA,2)-VLOOKUP((H30/F30*30.4),SUBSIDIO,2))/30.4*F30,2)&lt;0,ROUND(-(((H30/F30*30.4)-VLOOKUP((H30/F30*30.4),TARIFA,1))*VLOOKUP((H30/F30*30.4),TARIFA,3)+VLOOKUP((H30/F30*30.4),TARIFA,2)-VLOOKUP((H30/F30*30.4),SUBSIDIO,2))/30.4*F30,2),0),0)</f>
        <v>0</v>
      </c>
      <c r="J30" s="91">
        <f>IFERROR(IF(ROUND((((H30/F30*30.4)-VLOOKUP((H30/F30*30.4),TARIFA,1))*VLOOKUP((H30/F30*30.4),TARIFA,3)+VLOOKUP((H30/F30*30.4),TARIFA,2)-VLOOKUP((H30/F30*30.4),SUBSIDIO,2))/30.4*F30,2)&gt;0,ROUND((((H30/F30*30.4)-VLOOKUP((H30/F30*30.4),TARIFA,1))*VLOOKUP((H30/F30*30.4),TARIFA,3)+VLOOKUP((H30/F30*30.4),TARIFA,2)-VLOOKUP((H30/F30*30.4),SUBSIDIO,2))/30.4*F30,2),0),0)</f>
        <v>27.34</v>
      </c>
      <c r="K30" s="90">
        <v>0</v>
      </c>
      <c r="L30" s="91">
        <f t="shared" ref="L30" si="4">H30+I30-J30</f>
        <v>2802.66</v>
      </c>
      <c r="M30" s="18"/>
      <c r="P30" s="43"/>
      <c r="Q30" s="44"/>
    </row>
    <row r="31" spans="4:17" ht="32.1" customHeight="1" x14ac:dyDescent="0.3">
      <c r="D31" s="98" t="s">
        <v>170</v>
      </c>
      <c r="E31" s="96"/>
      <c r="F31" s="95"/>
      <c r="G31" s="91"/>
      <c r="H31" s="91"/>
      <c r="I31" s="209"/>
      <c r="J31" s="91"/>
      <c r="K31" s="91"/>
      <c r="L31" s="91"/>
      <c r="M31" s="18"/>
      <c r="P31" s="43"/>
      <c r="Q31" s="44"/>
    </row>
    <row r="32" spans="4:17" ht="32.1" customHeight="1" x14ac:dyDescent="0.25">
      <c r="D32" s="96" t="s">
        <v>67</v>
      </c>
      <c r="E32" s="233" t="s">
        <v>171</v>
      </c>
      <c r="F32" s="95">
        <v>15</v>
      </c>
      <c r="G32" s="91">
        <v>5868</v>
      </c>
      <c r="H32" s="91">
        <v>5868</v>
      </c>
      <c r="I32" s="209">
        <f>IFERROR(IF(ROUND((((H32/F32*30.4)-VLOOKUP((H32/F32*30.4),TARIFA,1))*VLOOKUP((H32/F32*30.4),TARIFA,3)+VLOOKUP((H32/F32*30.4),TARIFA,2)-VLOOKUP((H32/F32*30.4),SUBSIDIO,2))/30.4*F32,2)&lt;0,ROUND(-(((H32/F32*30.4)-VLOOKUP((H32/F32*30.4),TARIFA,1))*VLOOKUP((H32/F32*30.4),TARIFA,3)+VLOOKUP((H32/F32*30.4),TARIFA,2)-VLOOKUP((H32/F32*30.4),SUBSIDIO,2))/30.4*F32,2),0),0)</f>
        <v>0</v>
      </c>
      <c r="J32" s="91">
        <f>IFERROR(IF(ROUND((((H32/F32*30.4)-VLOOKUP((H32/F32*30.4),TARIFA,1))*VLOOKUP((H32/F32*30.4),TARIFA,3)+VLOOKUP((H32/F32*30.4),TARIFA,2)-VLOOKUP((H32/F32*30.4),SUBSIDIO,2))/30.4*F32,2)&gt;0,ROUND((((H32/F32*30.4)-VLOOKUP((H32/F32*30.4),TARIFA,1))*VLOOKUP((H32/F32*30.4),TARIFA,3)+VLOOKUP((H32/F32*30.4),TARIFA,2)-VLOOKUP((H32/F32*30.4),SUBSIDIO,2))/30.4*F32,2),0),0)</f>
        <v>567.58000000000004</v>
      </c>
      <c r="K32" s="91">
        <v>0</v>
      </c>
      <c r="L32" s="91">
        <f t="shared" ref="L32" si="5">H32+I32-J32</f>
        <v>5300.42</v>
      </c>
      <c r="M32" s="18"/>
      <c r="P32" s="43"/>
      <c r="Q32" s="44"/>
    </row>
    <row r="33" spans="2:17" ht="24.9" customHeight="1" x14ac:dyDescent="0.25">
      <c r="D33" s="69"/>
      <c r="E33" s="69"/>
      <c r="F33" s="68"/>
      <c r="G33" s="70">
        <f>SUM(G12:G32)</f>
        <v>108801</v>
      </c>
      <c r="H33" s="70">
        <f t="shared" ref="H33:K33" si="6">SUM(H12:H32)</f>
        <v>108801</v>
      </c>
      <c r="I33" s="70">
        <f>SUM(I12:I32)</f>
        <v>8.66</v>
      </c>
      <c r="J33" s="70">
        <f>SUM(J12:J32)</f>
        <v>10338.76</v>
      </c>
      <c r="K33" s="70">
        <f t="shared" si="6"/>
        <v>0</v>
      </c>
      <c r="L33" s="70">
        <f>SUM(L12:L32)</f>
        <v>76659.900000000009</v>
      </c>
      <c r="M33" s="71"/>
      <c r="P33" s="43"/>
      <c r="Q33" s="44"/>
    </row>
    <row r="34" spans="2:17" ht="21.9" customHeight="1" x14ac:dyDescent="0.3">
      <c r="B34" s="35"/>
      <c r="C34" s="35"/>
      <c r="D34" s="444"/>
      <c r="E34" s="444"/>
      <c r="F34" s="444"/>
      <c r="G34" s="444"/>
      <c r="H34" s="444"/>
      <c r="I34" s="444"/>
      <c r="J34" s="444"/>
      <c r="K34" s="444"/>
      <c r="L34" s="444"/>
      <c r="M34" s="444"/>
      <c r="P34" s="43"/>
      <c r="Q34" s="44"/>
    </row>
    <row r="35" spans="2:17" ht="21.9" customHeight="1" x14ac:dyDescent="0.3">
      <c r="B35" s="35"/>
      <c r="C35" s="35"/>
      <c r="D35" s="444"/>
      <c r="E35" s="444"/>
      <c r="F35" s="444"/>
      <c r="G35" s="444"/>
      <c r="H35" s="444"/>
      <c r="I35" s="444"/>
      <c r="J35" s="444"/>
      <c r="K35" s="444"/>
      <c r="L35" s="444"/>
      <c r="M35" s="444"/>
      <c r="P35" s="43"/>
      <c r="Q35" s="44"/>
    </row>
    <row r="36" spans="2:17" ht="21.9" customHeight="1" x14ac:dyDescent="0.3">
      <c r="B36" s="35"/>
      <c r="C36" s="35"/>
      <c r="D36" s="444"/>
      <c r="E36" s="444"/>
      <c r="F36" s="444"/>
      <c r="G36" s="444"/>
      <c r="H36" s="444"/>
      <c r="I36" s="444"/>
      <c r="J36" s="444"/>
      <c r="K36" s="444"/>
      <c r="L36" s="444"/>
      <c r="M36" s="444"/>
      <c r="P36" s="43"/>
      <c r="Q36" s="44"/>
    </row>
    <row r="37" spans="2:17" ht="21.9" customHeight="1" x14ac:dyDescent="0.3">
      <c r="B37" s="35"/>
      <c r="C37" s="35"/>
      <c r="D37" s="444"/>
      <c r="E37" s="444"/>
      <c r="F37" s="444"/>
      <c r="G37" s="444"/>
      <c r="H37" s="444"/>
      <c r="I37" s="444"/>
      <c r="J37" s="444"/>
      <c r="K37" s="444"/>
      <c r="L37" s="444"/>
      <c r="M37" s="444"/>
      <c r="P37" s="43"/>
      <c r="Q37" s="44"/>
    </row>
    <row r="38" spans="2:17" ht="18.75" customHeight="1" x14ac:dyDescent="0.25">
      <c r="B38" s="35"/>
      <c r="C38" s="35"/>
      <c r="D38" s="269"/>
      <c r="E38" s="269"/>
      <c r="F38" s="263" t="s">
        <v>3</v>
      </c>
      <c r="G38" s="270"/>
      <c r="H38" s="445" t="s">
        <v>120</v>
      </c>
      <c r="I38" s="446"/>
      <c r="J38" s="445"/>
      <c r="K38" s="447"/>
      <c r="L38" s="447"/>
      <c r="M38" s="263"/>
      <c r="P38" s="43"/>
      <c r="Q38" s="44"/>
    </row>
    <row r="39" spans="2:17" ht="12" customHeight="1" x14ac:dyDescent="0.25">
      <c r="B39" s="35"/>
      <c r="C39" s="35"/>
      <c r="D39" s="259"/>
      <c r="E39" s="259"/>
      <c r="F39" s="262" t="s">
        <v>4</v>
      </c>
      <c r="G39" s="263" t="s">
        <v>1</v>
      </c>
      <c r="H39" s="263" t="s">
        <v>121</v>
      </c>
      <c r="I39" s="271" t="s">
        <v>124</v>
      </c>
      <c r="J39" s="264"/>
      <c r="K39" s="264" t="s">
        <v>138</v>
      </c>
      <c r="L39" s="264" t="s">
        <v>123</v>
      </c>
      <c r="M39" s="259" t="s">
        <v>128</v>
      </c>
      <c r="P39" s="43"/>
      <c r="Q39" s="44"/>
    </row>
    <row r="40" spans="2:17" ht="18.75" customHeight="1" x14ac:dyDescent="0.25">
      <c r="B40" s="35"/>
      <c r="C40" s="35"/>
      <c r="D40" s="265"/>
      <c r="E40" s="265" t="s">
        <v>8</v>
      </c>
      <c r="F40" s="259"/>
      <c r="G40" s="259" t="s">
        <v>6</v>
      </c>
      <c r="H40" s="259" t="s">
        <v>123</v>
      </c>
      <c r="I40" s="272" t="s">
        <v>125</v>
      </c>
      <c r="J40" s="263" t="s">
        <v>126</v>
      </c>
      <c r="K40" s="263" t="s">
        <v>139</v>
      </c>
      <c r="L40" s="263" t="s">
        <v>129</v>
      </c>
      <c r="M40" s="259"/>
      <c r="P40" s="43"/>
      <c r="Q40" s="44"/>
    </row>
    <row r="41" spans="2:17" ht="14.25" customHeight="1" x14ac:dyDescent="0.25">
      <c r="B41" s="35"/>
      <c r="C41" s="35"/>
      <c r="D41" s="267" t="s">
        <v>10</v>
      </c>
      <c r="E41" s="267" t="s">
        <v>7</v>
      </c>
      <c r="F41" s="264"/>
      <c r="G41" s="264"/>
      <c r="H41" s="264"/>
      <c r="I41" s="273"/>
      <c r="J41" s="264"/>
      <c r="K41" s="264"/>
      <c r="L41" s="264"/>
      <c r="M41" s="264"/>
      <c r="P41" s="43"/>
      <c r="Q41" s="44"/>
    </row>
    <row r="42" spans="2:17" ht="14.25" customHeight="1" x14ac:dyDescent="0.25">
      <c r="B42" s="35"/>
      <c r="C42" s="35"/>
      <c r="D42" s="274"/>
      <c r="E42" s="274"/>
      <c r="F42" s="259"/>
      <c r="G42" s="259"/>
      <c r="H42" s="259"/>
      <c r="I42" s="262"/>
      <c r="J42" s="259"/>
      <c r="K42" s="259"/>
      <c r="L42" s="259"/>
      <c r="M42" s="259"/>
      <c r="P42" s="43"/>
      <c r="Q42" s="44"/>
    </row>
    <row r="43" spans="2:17" ht="36.9" customHeight="1" x14ac:dyDescent="0.3">
      <c r="B43" s="35"/>
      <c r="C43" s="35"/>
      <c r="D43" s="87" t="s">
        <v>150</v>
      </c>
      <c r="E43" s="87"/>
      <c r="F43" s="87"/>
      <c r="G43" s="87"/>
      <c r="H43" s="87"/>
      <c r="I43" s="208"/>
      <c r="J43" s="87"/>
      <c r="K43" s="87"/>
      <c r="L43" s="87"/>
      <c r="M43" s="15"/>
      <c r="P43" s="43"/>
      <c r="Q43" s="44"/>
    </row>
    <row r="44" spans="2:17" ht="36.75" hidden="1" customHeight="1" x14ac:dyDescent="0.25">
      <c r="B44" s="35"/>
      <c r="C44" s="35"/>
      <c r="D44" s="130"/>
      <c r="E44" s="131"/>
      <c r="F44" s="132"/>
      <c r="G44" s="99"/>
      <c r="H44" s="91"/>
      <c r="I44" s="209"/>
      <c r="J44" s="91"/>
      <c r="K44" s="92"/>
      <c r="L44" s="91"/>
      <c r="M44" s="15"/>
      <c r="P44" s="43"/>
      <c r="Q44" s="44"/>
    </row>
    <row r="45" spans="2:17" ht="36.75" customHeight="1" x14ac:dyDescent="0.25">
      <c r="B45" s="35"/>
      <c r="C45" s="35"/>
      <c r="D45" s="96" t="s">
        <v>242</v>
      </c>
      <c r="E45" s="233" t="s">
        <v>214</v>
      </c>
      <c r="F45" s="95">
        <v>15</v>
      </c>
      <c r="G45" s="91">
        <v>9905</v>
      </c>
      <c r="H45" s="91">
        <v>9905</v>
      </c>
      <c r="I45" s="209">
        <f>IFERROR(IF(ROUND((((H45/F45*30.4)-VLOOKUP((H45/F45*30.4),TARIFA,1))*VLOOKUP((H45/F45*30.4),TARIFA,3)+VLOOKUP((H45/F45*30.4),TARIFA,2)-VLOOKUP((H45/F45*30.4),SUBSIDIO,2))/30.4*F45,2)&lt;0,ROUND(-(((H45/F45*30.4)-VLOOKUP((H45/F45*30.4),TARIFA,1))*VLOOKUP((H45/F45*30.4),TARIFA,3)+VLOOKUP((H45/F45*30.4),TARIFA,2)-VLOOKUP((H45/F45*30.4),SUBSIDIO,2))/30.4*F45,2),0),0)</f>
        <v>0</v>
      </c>
      <c r="J45" s="91">
        <f>IFERROR(IF(ROUND((((H45/F45*30.4)-VLOOKUP((H45/F45*30.4),TARIFA,1))*VLOOKUP((H45/F45*30.4),TARIFA,3)+VLOOKUP((H45/F45*30.4),TARIFA,2)-VLOOKUP((H45/F45*30.4),SUBSIDIO,2))/30.4*F45,2)&gt;0,ROUND((((H45/F45*30.4)-VLOOKUP((H45/F45*30.4),TARIFA,1))*VLOOKUP((H45/F45*30.4),TARIFA,3)+VLOOKUP((H45/F45*30.4),TARIFA,2)-VLOOKUP((H45/F45*30.4),SUBSIDIO,2))/30.4*F45,2),0),0)</f>
        <v>1404.61</v>
      </c>
      <c r="K45" s="91">
        <v>0</v>
      </c>
      <c r="L45" s="91">
        <f t="shared" ref="L45" si="7">H45+I45-J45</f>
        <v>8500.39</v>
      </c>
      <c r="M45" s="15"/>
      <c r="P45" s="43"/>
      <c r="Q45" s="44"/>
    </row>
    <row r="46" spans="2:17" ht="36.9" customHeight="1" x14ac:dyDescent="0.3">
      <c r="D46" s="98" t="s">
        <v>19</v>
      </c>
      <c r="E46" s="96"/>
      <c r="F46" s="95"/>
      <c r="G46" s="91"/>
      <c r="H46" s="91"/>
      <c r="I46" s="209"/>
      <c r="J46" s="91"/>
      <c r="K46" s="91"/>
      <c r="L46" s="91"/>
      <c r="M46" s="18"/>
      <c r="P46" s="43"/>
      <c r="Q46" s="44"/>
    </row>
    <row r="47" spans="2:17" ht="36.9" customHeight="1" x14ac:dyDescent="0.25">
      <c r="D47" s="96" t="s">
        <v>280</v>
      </c>
      <c r="E47" s="96" t="s">
        <v>20</v>
      </c>
      <c r="F47" s="95">
        <v>15</v>
      </c>
      <c r="G47" s="91">
        <v>17000</v>
      </c>
      <c r="H47" s="91">
        <v>17000</v>
      </c>
      <c r="I47" s="209">
        <f>IFERROR(IF(ROUND((((H47/F47*30.4)-VLOOKUP((H47/F47*30.4),TARIFA,1))*VLOOKUP((H47/F47*30.4),TARIFA,3)+VLOOKUP((H47/F47*30.4),TARIFA,2)-VLOOKUP((H47/F47*30.4),SUBSIDIO,2))/30.4*F47,2)&lt;0,ROUND(-(((H47/F47*30.4)-VLOOKUP((H47/F47*30.4),TARIFA,1))*VLOOKUP((H47/F47*30.4),TARIFA,3)+VLOOKUP((H47/F47*30.4),TARIFA,2)-VLOOKUP((H47/F47*30.4),SUBSIDIO,2))/30.4*F47,2),0),0)</f>
        <v>0</v>
      </c>
      <c r="J47" s="91">
        <f>IFERROR(IF(ROUND((((H47/F47*30.4)-VLOOKUP((H47/F47*30.4),TARIFA,1))*VLOOKUP((H47/F47*30.4),TARIFA,3)+VLOOKUP((H47/F47*30.4),TARIFA,2)-VLOOKUP((H47/F47*30.4),SUBSIDIO,2))/30.4*F47,2)&gt;0,ROUND((((H47/F47*30.4)-VLOOKUP((H47/F47*30.4),TARIFA,1))*VLOOKUP((H47/F47*30.4),TARIFA,3)+VLOOKUP((H47/F47*30.4),TARIFA,2)-VLOOKUP((H47/F47*30.4),SUBSIDIO,2))/30.4*F47,2),0),0)</f>
        <v>2999.66</v>
      </c>
      <c r="K47" s="91">
        <v>0</v>
      </c>
      <c r="L47" s="91">
        <f t="shared" ref="L47:L58" si="8">H47+I47-J47</f>
        <v>14000.34</v>
      </c>
      <c r="M47" s="18"/>
      <c r="P47" s="43"/>
      <c r="Q47" s="44"/>
    </row>
    <row r="48" spans="2:17" ht="36.9" customHeight="1" x14ac:dyDescent="0.25">
      <c r="D48" s="96" t="s">
        <v>21</v>
      </c>
      <c r="E48" s="96" t="s">
        <v>12</v>
      </c>
      <c r="F48" s="95">
        <v>15</v>
      </c>
      <c r="G48" s="91">
        <v>4910</v>
      </c>
      <c r="H48" s="91">
        <v>4910</v>
      </c>
      <c r="I48" s="209">
        <f>IFERROR(IF(ROUND((((H48/F48*30.4)-VLOOKUP((H48/F48*30.4),TARIFA,1))*VLOOKUP((H48/F48*30.4),TARIFA,3)+VLOOKUP((H48/F48*30.4),TARIFA,2)-VLOOKUP((H48/F48*30.4),SUBSIDIO,2))/30.4*F48,2)&lt;0,ROUND(-(((H48/F48*30.4)-VLOOKUP((H48/F48*30.4),TARIFA,1))*VLOOKUP((H48/F48*30.4),TARIFA,3)+VLOOKUP((H48/F48*30.4),TARIFA,2)-VLOOKUP((H48/F48*30.4),SUBSIDIO,2))/30.4*F48,2),0),0)</f>
        <v>0</v>
      </c>
      <c r="J48" s="91">
        <f>IFERROR(IF(ROUND((((H48/F48*30.4)-VLOOKUP((H48/F48*30.4),TARIFA,1))*VLOOKUP((H48/F48*30.4),TARIFA,3)+VLOOKUP((H48/F48*30.4),TARIFA,2)-VLOOKUP((H48/F48*30.4),SUBSIDIO,2))/30.4*F48,2)&gt;0,ROUND((((H48/F48*30.4)-VLOOKUP((H48/F48*30.4),TARIFA,1))*VLOOKUP((H48/F48*30.4),TARIFA,3)+VLOOKUP((H48/F48*30.4),TARIFA,2)-VLOOKUP((H48/F48*30.4),SUBSIDIO,2))/30.4*F48,2),0),0)</f>
        <v>407.52</v>
      </c>
      <c r="K48" s="91">
        <v>0</v>
      </c>
      <c r="L48" s="91">
        <f t="shared" si="8"/>
        <v>4502.4799999999996</v>
      </c>
      <c r="M48" s="18"/>
      <c r="P48" s="43"/>
      <c r="Q48" s="44"/>
    </row>
    <row r="49" spans="2:17" ht="36.9" customHeight="1" x14ac:dyDescent="0.25">
      <c r="D49" s="96" t="s">
        <v>81</v>
      </c>
      <c r="E49" s="96" t="s">
        <v>12</v>
      </c>
      <c r="F49" s="95">
        <v>15</v>
      </c>
      <c r="G49" s="90">
        <v>4910</v>
      </c>
      <c r="H49" s="90">
        <v>4910</v>
      </c>
      <c r="I49" s="209">
        <f>IFERROR(IF(ROUND((((H49/F49*30.4)-VLOOKUP((H49/F49*30.4),TARIFA,1))*VLOOKUP((H49/F49*30.4),TARIFA,3)+VLOOKUP((H49/F49*30.4),TARIFA,2)-VLOOKUP((H49/F49*30.4),SUBSIDIO,2))/30.4*F49,2)&lt;0,ROUND(-(((H49/F49*30.4)-VLOOKUP((H49/F49*30.4),TARIFA,1))*VLOOKUP((H49/F49*30.4),TARIFA,3)+VLOOKUP((H49/F49*30.4),TARIFA,2)-VLOOKUP((H49/F49*30.4),SUBSIDIO,2))/30.4*F49,2),0),0)</f>
        <v>0</v>
      </c>
      <c r="J49" s="91">
        <f>IFERROR(IF(ROUND((((H49/F49*30.4)-VLOOKUP((H49/F49*30.4),TARIFA,1))*VLOOKUP((H49/F49*30.4),TARIFA,3)+VLOOKUP((H49/F49*30.4),TARIFA,2)-VLOOKUP((H49/F49*30.4),SUBSIDIO,2))/30.4*F49,2)&gt;0,ROUND((((H49/F49*30.4)-VLOOKUP((H49/F49*30.4),TARIFA,1))*VLOOKUP((H49/F49*30.4),TARIFA,3)+VLOOKUP((H49/F49*30.4),TARIFA,2)-VLOOKUP((H49/F49*30.4),SUBSIDIO,2))/30.4*F49,2),0),0)</f>
        <v>407.52</v>
      </c>
      <c r="K49" s="91">
        <v>0</v>
      </c>
      <c r="L49" s="91">
        <f t="shared" si="8"/>
        <v>4502.4799999999996</v>
      </c>
      <c r="M49" s="18"/>
      <c r="P49" s="43"/>
      <c r="Q49" s="44"/>
    </row>
    <row r="50" spans="2:17" ht="36.9" customHeight="1" x14ac:dyDescent="0.25">
      <c r="D50" s="96" t="s">
        <v>22</v>
      </c>
      <c r="E50" s="96" t="s">
        <v>12</v>
      </c>
      <c r="F50" s="95">
        <v>15</v>
      </c>
      <c r="G50" s="91">
        <v>4910</v>
      </c>
      <c r="H50" s="91">
        <v>4910</v>
      </c>
      <c r="I50" s="209">
        <f>IFERROR(IF(ROUND((((H50/F50*30.4)-VLOOKUP((H50/F50*30.4),TARIFA,1))*VLOOKUP((H50/F50*30.4),TARIFA,3)+VLOOKUP((H50/F50*30.4),TARIFA,2)-VLOOKUP((H50/F50*30.4),SUBSIDIO,2))/30.4*F50,2)&lt;0,ROUND(-(((H50/F50*30.4)-VLOOKUP((H50/F50*30.4),TARIFA,1))*VLOOKUP((H50/F50*30.4),TARIFA,3)+VLOOKUP((H50/F50*30.4),TARIFA,2)-VLOOKUP((H50/F50*30.4),SUBSIDIO,2))/30.4*F50,2),0),0)</f>
        <v>0</v>
      </c>
      <c r="J50" s="91">
        <f>IFERROR(IF(ROUND((((H50/F50*30.4)-VLOOKUP((H50/F50*30.4),TARIFA,1))*VLOOKUP((H50/F50*30.4),TARIFA,3)+VLOOKUP((H50/F50*30.4),TARIFA,2)-VLOOKUP((H50/F50*30.4),SUBSIDIO,2))/30.4*F50,2)&gt;0,ROUND((((H50/F50*30.4)-VLOOKUP((H50/F50*30.4),TARIFA,1))*VLOOKUP((H50/F50*30.4),TARIFA,3)+VLOOKUP((H50/F50*30.4),TARIFA,2)-VLOOKUP((H50/F50*30.4),SUBSIDIO,2))/30.4*F50,2),0),0)</f>
        <v>407.52</v>
      </c>
      <c r="K50" s="91">
        <v>0</v>
      </c>
      <c r="L50" s="91">
        <f t="shared" si="8"/>
        <v>4502.4799999999996</v>
      </c>
      <c r="M50" s="18"/>
      <c r="P50" s="43"/>
      <c r="Q50" s="44"/>
    </row>
    <row r="51" spans="2:17" ht="36.9" customHeight="1" x14ac:dyDescent="0.3">
      <c r="D51" s="98" t="s">
        <v>74</v>
      </c>
      <c r="E51" s="96"/>
      <c r="F51" s="95"/>
      <c r="G51" s="91"/>
      <c r="H51" s="91"/>
      <c r="I51" s="209"/>
      <c r="J51" s="91"/>
      <c r="K51" s="91"/>
      <c r="L51" s="91"/>
      <c r="M51" s="18"/>
      <c r="P51" s="43"/>
      <c r="Q51" s="44"/>
    </row>
    <row r="52" spans="2:17" ht="36.9" customHeight="1" x14ac:dyDescent="0.25">
      <c r="D52" s="96" t="s">
        <v>275</v>
      </c>
      <c r="E52" s="233" t="s">
        <v>277</v>
      </c>
      <c r="F52" s="95">
        <v>15</v>
      </c>
      <c r="G52" s="91">
        <v>3888</v>
      </c>
      <c r="H52" s="91">
        <v>3888</v>
      </c>
      <c r="I52" s="91">
        <f>IFERROR(IF(ROUND((((H52/F52*30.4)-VLOOKUP((H52/F52*30.4),TARIFA,1))*VLOOKUP((H52/F52*30.4),TARIFA,3)+VLOOKUP((H52/F52*30.4),TARIFA,2)-VLOOKUP((H52/F52*30.4),SUBSIDIO,2))/30.4*F52,2)&lt;0,ROUND(-(((H52/F52*30.4)-VLOOKUP((H52/F52*30.4),TARIFA,1))*VLOOKUP((H52/F52*30.4),TARIFA,3)+VLOOKUP((H52/F52*30.4),TARIFA,2)-VLOOKUP((H52/F52*30.4),SUBSIDIO,2))/30.4*F52,2),0),0)</f>
        <v>0</v>
      </c>
      <c r="J52" s="91">
        <f>IFERROR(IF(ROUND((((H52/F52*30.4)-VLOOKUP((H52/F52*30.4),TARIFA,1))*VLOOKUP((H52/F52*30.4),TARIFA,3)+VLOOKUP((H52/F52*30.4),TARIFA,2)-VLOOKUP((H52/F52*30.4),SUBSIDIO,2))/30.4*F52,2)&gt;0,ROUND((((H52/F52*30.4)-VLOOKUP((H52/F52*30.4),TARIFA,1))*VLOOKUP((H52/F52*30.4),TARIFA,3)+VLOOKUP((H52/F52*30.4),TARIFA,2)-VLOOKUP((H52/F52*30.4),SUBSIDIO,2))/30.4*F52,2),0),0)</f>
        <v>287.83</v>
      </c>
      <c r="K52" s="91">
        <v>0</v>
      </c>
      <c r="L52" s="91">
        <f t="shared" ref="L52" si="9">H52+I52-J52</f>
        <v>3600.17</v>
      </c>
      <c r="M52" s="18"/>
      <c r="P52" s="43"/>
      <c r="Q52" s="44"/>
    </row>
    <row r="53" spans="2:17" ht="43.5" customHeight="1" x14ac:dyDescent="0.25">
      <c r="D53" s="96" t="s">
        <v>48</v>
      </c>
      <c r="E53" s="233" t="s">
        <v>146</v>
      </c>
      <c r="F53" s="95">
        <v>15</v>
      </c>
      <c r="G53" s="91">
        <v>4350</v>
      </c>
      <c r="H53" s="91">
        <v>4350</v>
      </c>
      <c r="I53" s="91">
        <f>IFERROR(IF(ROUND((((H53/F53*30.4)-VLOOKUP((H53/F53*30.4),TARIFA,1))*VLOOKUP((H53/F53*30.4),TARIFA,3)+VLOOKUP((H53/F53*30.4),TARIFA,2)-VLOOKUP((H53/F53*30.4),SUBSIDIO,2))/30.4*F53,2)&lt;0,ROUND(-(((H53/F53*30.4)-VLOOKUP((H53/F53*30.4),TARIFA,1))*VLOOKUP((H53/F53*30.4),TARIFA,3)+VLOOKUP((H53/F53*30.4),TARIFA,2)-VLOOKUP((H53/F53*30.4),SUBSIDIO,2))/30.4*F53,2),0),0)</f>
        <v>0</v>
      </c>
      <c r="J53" s="91">
        <f>IFERROR(IF(ROUND((((H53/F53*30.4)-VLOOKUP((H53/F53*30.4),TARIFA,1))*VLOOKUP((H53/F53*30.4),TARIFA,3)+VLOOKUP((H53/F53*30.4),TARIFA,2)-VLOOKUP((H53/F53*30.4),SUBSIDIO,2))/30.4*F53,2)&gt;0,ROUND((((H53/F53*30.4)-VLOOKUP((H53/F53*30.4),TARIFA,1))*VLOOKUP((H53/F53*30.4),TARIFA,3)+VLOOKUP((H53/F53*30.4),TARIFA,2)-VLOOKUP((H53/F53*30.4),SUBSIDIO,2))/30.4*F53,2),0),0)</f>
        <v>338.09</v>
      </c>
      <c r="K53" s="91">
        <v>0</v>
      </c>
      <c r="L53" s="91">
        <f t="shared" si="8"/>
        <v>4011.91</v>
      </c>
      <c r="M53" s="18"/>
      <c r="P53" s="43"/>
      <c r="Q53" s="44"/>
    </row>
    <row r="54" spans="2:17" ht="36.9" customHeight="1" x14ac:dyDescent="0.3">
      <c r="D54" s="98" t="s">
        <v>23</v>
      </c>
      <c r="E54" s="96"/>
      <c r="F54" s="95"/>
      <c r="G54" s="91"/>
      <c r="H54" s="91"/>
      <c r="I54" s="209"/>
      <c r="J54" s="91"/>
      <c r="K54" s="91"/>
      <c r="L54" s="91"/>
      <c r="M54" s="18"/>
      <c r="P54" s="43"/>
      <c r="Q54" s="44"/>
    </row>
    <row r="55" spans="2:17" ht="36.9" customHeight="1" x14ac:dyDescent="0.25">
      <c r="D55" s="96" t="s">
        <v>250</v>
      </c>
      <c r="E55" s="96" t="s">
        <v>24</v>
      </c>
      <c r="F55" s="95">
        <v>15</v>
      </c>
      <c r="G55" s="91">
        <v>8000</v>
      </c>
      <c r="H55" s="91">
        <v>8000</v>
      </c>
      <c r="I55" s="209">
        <f>IFERROR(IF(ROUND((((H55/F55*30.4)-VLOOKUP((H55/F55*30.4),TARIFA,1))*VLOOKUP((H55/F55*30.4),TARIFA,3)+VLOOKUP((H55/F55*30.4),TARIFA,2)-VLOOKUP((H55/F55*30.4),SUBSIDIO,2))/30.4*F55,2)&lt;0,ROUND(-(((H55/F55*30.4)-VLOOKUP((H55/F55*30.4),TARIFA,1))*VLOOKUP((H55/F55*30.4),TARIFA,3)+VLOOKUP((H55/F55*30.4),TARIFA,2)-VLOOKUP((H55/F55*30.4),SUBSIDIO,2))/30.4*F55,2),0),0)</f>
        <v>0</v>
      </c>
      <c r="J55" s="91">
        <f>IFERROR(IF(ROUND((((H55/F55*30.4)-VLOOKUP((H55/F55*30.4),TARIFA,1))*VLOOKUP((H55/F55*30.4),TARIFA,3)+VLOOKUP((H55/F55*30.4),TARIFA,2)-VLOOKUP((H55/F55*30.4),SUBSIDIO,2))/30.4*F55,2)&gt;0,ROUND((((H55/F55*30.4)-VLOOKUP((H55/F55*30.4),TARIFA,1))*VLOOKUP((H55/F55*30.4),TARIFA,3)+VLOOKUP((H55/F55*30.4),TARIFA,2)-VLOOKUP((H55/F55*30.4),SUBSIDIO,2))/30.4*F55,2),0),0)</f>
        <v>997.7</v>
      </c>
      <c r="K55" s="91">
        <v>0</v>
      </c>
      <c r="L55" s="91">
        <f t="shared" si="8"/>
        <v>7002.3</v>
      </c>
      <c r="M55" s="18"/>
      <c r="P55" s="43"/>
      <c r="Q55" s="44"/>
    </row>
    <row r="56" spans="2:17" ht="36.9" customHeight="1" x14ac:dyDescent="0.25">
      <c r="D56" s="96" t="s">
        <v>68</v>
      </c>
      <c r="E56" s="96" t="s">
        <v>61</v>
      </c>
      <c r="F56" s="95">
        <v>15</v>
      </c>
      <c r="G56" s="91">
        <v>4696</v>
      </c>
      <c r="H56" s="91">
        <v>4696</v>
      </c>
      <c r="I56" s="209">
        <f>IFERROR(IF(ROUND((((H56/F56*30.4)-VLOOKUP((H56/F56*30.4),TARIFA,1))*VLOOKUP((H56/F56*30.4),TARIFA,3)+VLOOKUP((H56/F56*30.4),TARIFA,2)-VLOOKUP((H56/F56*30.4),SUBSIDIO,2))/30.4*F56,2)&lt;0,ROUND(-(((H56/F56*30.4)-VLOOKUP((H56/F56*30.4),TARIFA,1))*VLOOKUP((H56/F56*30.4),TARIFA,3)+VLOOKUP((H56/F56*30.4),TARIFA,2)-VLOOKUP((H56/F56*30.4),SUBSIDIO,2))/30.4*F56,2),0),0)</f>
        <v>0</v>
      </c>
      <c r="J56" s="91">
        <f>IFERROR(IF(ROUND((((H56/F56*30.4)-VLOOKUP((H56/F56*30.4),TARIFA,1))*VLOOKUP((H56/F56*30.4),TARIFA,3)+VLOOKUP((H56/F56*30.4),TARIFA,2)-VLOOKUP((H56/F56*30.4),SUBSIDIO,2))/30.4*F56,2)&gt;0,ROUND((((H56/F56*30.4)-VLOOKUP((H56/F56*30.4),TARIFA,1))*VLOOKUP((H56/F56*30.4),TARIFA,3)+VLOOKUP((H56/F56*30.4),TARIFA,2)-VLOOKUP((H56/F56*30.4),SUBSIDIO,2))/30.4*F56,2),0),0)</f>
        <v>375.74</v>
      </c>
      <c r="K56" s="91">
        <v>0</v>
      </c>
      <c r="L56" s="91">
        <f t="shared" si="8"/>
        <v>4320.26</v>
      </c>
      <c r="M56" s="18"/>
      <c r="P56" s="43"/>
      <c r="Q56" s="44"/>
    </row>
    <row r="57" spans="2:17" ht="36.9" customHeight="1" x14ac:dyDescent="0.3">
      <c r="D57" s="98" t="s">
        <v>327</v>
      </c>
      <c r="E57" s="96"/>
      <c r="F57" s="95"/>
      <c r="G57" s="91"/>
      <c r="H57" s="91"/>
      <c r="I57" s="209"/>
      <c r="J57" s="91"/>
      <c r="K57" s="91"/>
      <c r="L57" s="91"/>
      <c r="M57" s="18"/>
      <c r="P57" s="43"/>
      <c r="Q57" s="44"/>
    </row>
    <row r="58" spans="2:17" ht="36.9" customHeight="1" x14ac:dyDescent="0.25">
      <c r="D58" s="96" t="s">
        <v>248</v>
      </c>
      <c r="E58" s="254" t="s">
        <v>153</v>
      </c>
      <c r="F58" s="255">
        <v>15</v>
      </c>
      <c r="G58" s="91">
        <v>6112</v>
      </c>
      <c r="H58" s="91">
        <v>6112</v>
      </c>
      <c r="I58" s="209">
        <f>IFERROR(IF(ROUND((((H58/F58*30.4)-VLOOKUP((H58/F58*30.4),TARIFA,1))*VLOOKUP((H58/F58*30.4),TARIFA,3)+VLOOKUP((H58/F58*30.4),TARIFA,2)-VLOOKUP((H58/F58*30.4),SUBSIDIO,2))/30.4*F58,2)&lt;0,ROUND(-(((H58/F58*30.4)-VLOOKUP((H58/F58*30.4),TARIFA,1))*VLOOKUP((H58/F58*30.4),TARIFA,3)+VLOOKUP((H58/F58*30.4),TARIFA,2)-VLOOKUP((H58/F58*30.4),SUBSIDIO,2))/30.4*F58,2),0),0)</f>
        <v>0</v>
      </c>
      <c r="J58" s="91">
        <f>IFERROR(IF(ROUND((((H58/F58*30.4)-VLOOKUP((H58/F58*30.4),TARIFA,1))*VLOOKUP((H58/F58*30.4),TARIFA,3)+VLOOKUP((H58/F58*30.4),TARIFA,2)-VLOOKUP((H58/F58*30.4),SUBSIDIO,2))/30.4*F58,2)&gt;0,ROUND((((H58/F58*30.4)-VLOOKUP((H58/F58*30.4),TARIFA,1))*VLOOKUP((H58/F58*30.4),TARIFA,3)+VLOOKUP((H58/F58*30.4),TARIFA,2)-VLOOKUP((H58/F58*30.4),SUBSIDIO,2))/30.4*F58,2),0),0)</f>
        <v>611.29999999999995</v>
      </c>
      <c r="K58" s="18">
        <f t="shared" ref="K58" si="10">SUM(K45:K57)</f>
        <v>0</v>
      </c>
      <c r="L58" s="91">
        <f t="shared" si="8"/>
        <v>5500.7</v>
      </c>
      <c r="M58" s="18"/>
      <c r="P58" s="43"/>
      <c r="Q58" s="44"/>
    </row>
    <row r="59" spans="2:17" s="17" customFormat="1" ht="36.9" customHeight="1" x14ac:dyDescent="0.25">
      <c r="D59" s="109"/>
      <c r="E59" s="243"/>
      <c r="F59" s="244"/>
      <c r="G59" s="112">
        <f>SUM(G45:G58)</f>
        <v>68681</v>
      </c>
      <c r="H59" s="112">
        <f t="shared" ref="H59:K59" si="11">SUM(H45:H58)</f>
        <v>68681</v>
      </c>
      <c r="I59" s="112">
        <f t="shared" si="11"/>
        <v>0</v>
      </c>
      <c r="J59" s="112">
        <f>SUM(J45:J58)</f>
        <v>8237.49</v>
      </c>
      <c r="K59" s="112">
        <f t="shared" si="11"/>
        <v>0</v>
      </c>
      <c r="L59" s="112">
        <f>SUM(L45:L58)</f>
        <v>60443.51</v>
      </c>
      <c r="M59" s="70"/>
      <c r="P59" s="245"/>
      <c r="Q59" s="246"/>
    </row>
    <row r="60" spans="2:17" ht="21.9" customHeight="1" x14ac:dyDescent="0.35">
      <c r="B60" s="35"/>
      <c r="C60" s="35"/>
      <c r="D60" s="448"/>
      <c r="E60" s="448"/>
      <c r="F60" s="448"/>
      <c r="G60" s="448"/>
      <c r="H60" s="448"/>
      <c r="I60" s="448"/>
      <c r="J60" s="448"/>
      <c r="K60" s="448"/>
      <c r="L60" s="448"/>
      <c r="M60" s="448"/>
      <c r="P60" s="43"/>
      <c r="Q60" s="44"/>
    </row>
    <row r="61" spans="2:17" ht="21.9" customHeight="1" x14ac:dyDescent="0.35">
      <c r="B61" s="35"/>
      <c r="C61" s="35"/>
      <c r="D61" s="448"/>
      <c r="E61" s="448"/>
      <c r="F61" s="448"/>
      <c r="G61" s="448"/>
      <c r="H61" s="448"/>
      <c r="I61" s="448"/>
      <c r="J61" s="448"/>
      <c r="K61" s="448"/>
      <c r="L61" s="448"/>
      <c r="M61" s="448"/>
      <c r="P61" s="43"/>
      <c r="Q61" s="44"/>
    </row>
    <row r="62" spans="2:17" ht="21.9" customHeight="1" x14ac:dyDescent="0.35">
      <c r="B62" s="35"/>
      <c r="C62" s="35"/>
      <c r="D62" s="448"/>
      <c r="E62" s="448"/>
      <c r="F62" s="448"/>
      <c r="G62" s="448"/>
      <c r="H62" s="448"/>
      <c r="I62" s="448"/>
      <c r="J62" s="448"/>
      <c r="K62" s="448"/>
      <c r="L62" s="448"/>
      <c r="M62" s="448"/>
      <c r="P62" s="43"/>
      <c r="Q62" s="44"/>
    </row>
    <row r="63" spans="2:17" ht="21.9" customHeight="1" x14ac:dyDescent="0.35">
      <c r="B63" s="35"/>
      <c r="C63" s="35"/>
      <c r="D63" s="448"/>
      <c r="E63" s="448"/>
      <c r="F63" s="448"/>
      <c r="G63" s="448"/>
      <c r="H63" s="448"/>
      <c r="I63" s="448"/>
      <c r="J63" s="448"/>
      <c r="K63" s="448"/>
      <c r="L63" s="448"/>
      <c r="M63" s="448"/>
      <c r="P63" s="43"/>
      <c r="Q63" s="44"/>
    </row>
    <row r="64" spans="2:17" ht="21.9" customHeight="1" x14ac:dyDescent="0.25">
      <c r="B64" s="35"/>
      <c r="C64" s="35"/>
      <c r="D64" s="269"/>
      <c r="E64" s="269"/>
      <c r="F64" s="263" t="s">
        <v>3</v>
      </c>
      <c r="G64" s="270"/>
      <c r="H64" s="445" t="s">
        <v>120</v>
      </c>
      <c r="I64" s="446"/>
      <c r="J64" s="445"/>
      <c r="K64" s="447"/>
      <c r="L64" s="447"/>
      <c r="M64" s="263"/>
      <c r="P64" s="43"/>
      <c r="Q64" s="44"/>
    </row>
    <row r="65" spans="2:17" ht="18.75" customHeight="1" x14ac:dyDescent="0.25">
      <c r="B65" s="35"/>
      <c r="C65" s="35"/>
      <c r="D65" s="259"/>
      <c r="E65" s="259"/>
      <c r="F65" s="262" t="s">
        <v>4</v>
      </c>
      <c r="G65" s="263" t="s">
        <v>1</v>
      </c>
      <c r="H65" s="263" t="s">
        <v>121</v>
      </c>
      <c r="I65" s="271" t="s">
        <v>124</v>
      </c>
      <c r="J65" s="264"/>
      <c r="K65" s="264" t="s">
        <v>137</v>
      </c>
      <c r="L65" s="264" t="s">
        <v>123</v>
      </c>
      <c r="M65" s="259" t="s">
        <v>128</v>
      </c>
      <c r="P65" s="43"/>
      <c r="Q65" s="44"/>
    </row>
    <row r="66" spans="2:17" ht="21.9" customHeight="1" x14ac:dyDescent="0.25">
      <c r="B66" s="35"/>
      <c r="C66" s="35"/>
      <c r="D66" s="265"/>
      <c r="E66" s="265" t="s">
        <v>8</v>
      </c>
      <c r="F66" s="259"/>
      <c r="G66" s="259" t="s">
        <v>6</v>
      </c>
      <c r="H66" s="259" t="s">
        <v>123</v>
      </c>
      <c r="I66" s="272" t="s">
        <v>125</v>
      </c>
      <c r="J66" s="263" t="s">
        <v>126</v>
      </c>
      <c r="K66" s="263" t="s">
        <v>139</v>
      </c>
      <c r="L66" s="263" t="s">
        <v>129</v>
      </c>
      <c r="M66" s="259"/>
      <c r="P66" s="43"/>
      <c r="Q66" s="44"/>
    </row>
    <row r="67" spans="2:17" ht="21.75" customHeight="1" x14ac:dyDescent="0.25">
      <c r="B67" s="35"/>
      <c r="C67" s="35"/>
      <c r="D67" s="267" t="s">
        <v>10</v>
      </c>
      <c r="E67" s="267" t="s">
        <v>7</v>
      </c>
      <c r="F67" s="264"/>
      <c r="G67" s="264"/>
      <c r="H67" s="264"/>
      <c r="I67" s="273"/>
      <c r="J67" s="264"/>
      <c r="K67" s="264"/>
      <c r="L67" s="264"/>
      <c r="M67" s="264"/>
      <c r="P67" s="43"/>
      <c r="Q67" s="44"/>
    </row>
    <row r="68" spans="2:17" ht="36.9" customHeight="1" x14ac:dyDescent="0.3">
      <c r="B68" s="35"/>
      <c r="C68" s="35"/>
      <c r="D68" s="88" t="s">
        <v>25</v>
      </c>
      <c r="E68" s="93"/>
      <c r="F68" s="89"/>
      <c r="G68" s="91"/>
      <c r="H68" s="91"/>
      <c r="I68" s="209"/>
      <c r="J68" s="91"/>
      <c r="K68" s="91"/>
      <c r="L68" s="92"/>
      <c r="M68" s="81"/>
      <c r="P68" s="43"/>
      <c r="Q68" s="44"/>
    </row>
    <row r="69" spans="2:17" ht="36.9" customHeight="1" x14ac:dyDescent="0.25">
      <c r="B69" s="35"/>
      <c r="C69" s="35"/>
      <c r="D69" s="96" t="s">
        <v>27</v>
      </c>
      <c r="E69" s="96" t="s">
        <v>26</v>
      </c>
      <c r="F69" s="95">
        <v>15</v>
      </c>
      <c r="G69" s="91">
        <v>0</v>
      </c>
      <c r="H69" s="91">
        <v>0</v>
      </c>
      <c r="I69" s="209">
        <f t="shared" ref="I69:I74" si="12">IFERROR(IF(ROUND((((H69/F69*30.4)-VLOOKUP((H69/F69*30.4),TARIFA,1))*VLOOKUP((H69/F69*30.4),TARIFA,3)+VLOOKUP((H69/F69*30.4),TARIFA,2)-VLOOKUP((H69/F69*30.4),SUBSIDIO,2))/30.4*F69,2)&lt;0,ROUND(-(((H69/F69*30.4)-VLOOKUP((H69/F69*30.4),TARIFA,1))*VLOOKUP((H69/F69*30.4),TARIFA,3)+VLOOKUP((H69/F69*30.4),TARIFA,2)-VLOOKUP((H69/F69*30.4),SUBSIDIO,2))/30.4*F69,2),0),0)</f>
        <v>0</v>
      </c>
      <c r="J69" s="91">
        <f t="shared" ref="J69:J74" si="13">IFERROR(IF(ROUND((((H69/F69*30.4)-VLOOKUP((H69/F69*30.4),TARIFA,1))*VLOOKUP((H69/F69*30.4),TARIFA,3)+VLOOKUP((H69/F69*30.4),TARIFA,2)-VLOOKUP((H69/F69*30.4),SUBSIDIO,2))/30.4*F69,2)&gt;0,ROUND((((H69/F69*30.4)-VLOOKUP((H69/F69*30.4),TARIFA,1))*VLOOKUP((H69/F69*30.4),TARIFA,3)+VLOOKUP((H69/F69*30.4),TARIFA,2)-VLOOKUP((H69/F69*30.4),SUBSIDIO,2))/30.4*F69,2),0),0)</f>
        <v>0</v>
      </c>
      <c r="K69" s="91">
        <v>0</v>
      </c>
      <c r="L69" s="91">
        <f t="shared" ref="L69:L77" si="14">H69+I69-J69</f>
        <v>0</v>
      </c>
      <c r="M69" s="82"/>
      <c r="P69" s="43"/>
      <c r="Q69" s="44"/>
    </row>
    <row r="70" spans="2:17" ht="36.9" customHeight="1" x14ac:dyDescent="0.25">
      <c r="B70" s="35"/>
      <c r="C70" s="35"/>
      <c r="D70" s="96" t="s">
        <v>69</v>
      </c>
      <c r="E70" s="96" t="s">
        <v>26</v>
      </c>
      <c r="F70" s="95">
        <v>15</v>
      </c>
      <c r="G70" s="91">
        <v>4337</v>
      </c>
      <c r="H70" s="91">
        <v>4337</v>
      </c>
      <c r="I70" s="91">
        <f>IFERROR(IF(ROUND((((H70/F70*30.4)-VLOOKUP((H70/F70*30.4),TARIFA,1))*VLOOKUP((H70/F70*30.4),TARIFA,3)+VLOOKUP((H70/F70*30.4),TARIFA,2)-VLOOKUP((H70/F70*30.4),SUBSIDIO,2))/30.4*F70,2)&lt;0,ROUND(-(((H70/F70*30.4)-VLOOKUP((H70/F70*30.4),TARIFA,1))*VLOOKUP((H70/F70*30.4),TARIFA,3)+VLOOKUP((H70/F70*30.4),TARIFA,2)-VLOOKUP((H70/F70*30.4),SUBSIDIO,2))/30.4*F70,2),0),0)</f>
        <v>0</v>
      </c>
      <c r="J70" s="91">
        <f>IFERROR(IF(ROUND((((H70/F70*30.4)-VLOOKUP((H70/F70*30.4),TARIFA,1))*VLOOKUP((H70/F70*30.4),TARIFA,3)+VLOOKUP((H70/F70*30.4),TARIFA,2)-VLOOKUP((H70/F70*30.4),SUBSIDIO,2))/30.4*F70,2)&gt;0,ROUND((((H70/F70*30.4)-VLOOKUP((H70/F70*30.4),TARIFA,1))*VLOOKUP((H70/F70*30.4),TARIFA,3)+VLOOKUP((H70/F70*30.4),TARIFA,2)-VLOOKUP((H70/F70*30.4),SUBSIDIO,2))/30.4*F70,2),0),0)</f>
        <v>336.68</v>
      </c>
      <c r="K70" s="91">
        <v>0</v>
      </c>
      <c r="L70" s="91">
        <f t="shared" si="14"/>
        <v>4000.32</v>
      </c>
      <c r="M70" s="82"/>
      <c r="P70" s="43"/>
      <c r="Q70" s="44"/>
    </row>
    <row r="71" spans="2:17" ht="36.9" customHeight="1" x14ac:dyDescent="0.25">
      <c r="B71" s="35"/>
      <c r="C71" s="35"/>
      <c r="D71" s="96" t="s">
        <v>29</v>
      </c>
      <c r="E71" s="96" t="s">
        <v>30</v>
      </c>
      <c r="F71" s="95">
        <v>15</v>
      </c>
      <c r="G71" s="91">
        <v>3052</v>
      </c>
      <c r="H71" s="91">
        <v>3052</v>
      </c>
      <c r="I71" s="209">
        <f t="shared" si="12"/>
        <v>0</v>
      </c>
      <c r="J71" s="91">
        <f t="shared" si="13"/>
        <v>51.49</v>
      </c>
      <c r="K71" s="91">
        <v>0</v>
      </c>
      <c r="L71" s="91">
        <f t="shared" si="14"/>
        <v>3000.51</v>
      </c>
      <c r="M71" s="82"/>
      <c r="P71" s="43"/>
      <c r="Q71" s="44"/>
    </row>
    <row r="72" spans="2:17" ht="36.9" customHeight="1" x14ac:dyDescent="0.25">
      <c r="B72" s="35"/>
      <c r="C72" s="35"/>
      <c r="D72" s="96" t="s">
        <v>31</v>
      </c>
      <c r="E72" s="96" t="s">
        <v>32</v>
      </c>
      <c r="F72" s="95">
        <v>15</v>
      </c>
      <c r="G72" s="91">
        <v>3776</v>
      </c>
      <c r="H72" s="91">
        <v>3776</v>
      </c>
      <c r="I72" s="209">
        <f t="shared" si="12"/>
        <v>0</v>
      </c>
      <c r="J72" s="91">
        <f t="shared" si="13"/>
        <v>275.64</v>
      </c>
      <c r="K72" s="91">
        <v>0</v>
      </c>
      <c r="L72" s="91">
        <f t="shared" si="14"/>
        <v>3500.36</v>
      </c>
      <c r="M72" s="82"/>
      <c r="P72" s="43"/>
      <c r="Q72" s="44"/>
    </row>
    <row r="73" spans="2:17" ht="36.9" customHeight="1" x14ac:dyDescent="0.25">
      <c r="B73" s="35"/>
      <c r="C73" s="35"/>
      <c r="D73" s="96" t="s">
        <v>63</v>
      </c>
      <c r="E73" s="96" t="s">
        <v>32</v>
      </c>
      <c r="F73" s="95">
        <v>15</v>
      </c>
      <c r="G73" s="91">
        <v>3776</v>
      </c>
      <c r="H73" s="91">
        <v>3776</v>
      </c>
      <c r="I73" s="209">
        <f t="shared" si="12"/>
        <v>0</v>
      </c>
      <c r="J73" s="91">
        <f t="shared" si="13"/>
        <v>275.64</v>
      </c>
      <c r="K73" s="91">
        <v>0</v>
      </c>
      <c r="L73" s="91">
        <f t="shared" si="14"/>
        <v>3500.36</v>
      </c>
      <c r="M73" s="82"/>
      <c r="P73" s="43"/>
      <c r="Q73" s="44"/>
    </row>
    <row r="74" spans="2:17" ht="38.25" customHeight="1" x14ac:dyDescent="0.25">
      <c r="B74" s="35"/>
      <c r="C74" s="35"/>
      <c r="D74" s="97" t="s">
        <v>111</v>
      </c>
      <c r="E74" s="96" t="s">
        <v>26</v>
      </c>
      <c r="F74" s="95">
        <v>15</v>
      </c>
      <c r="G74" s="90">
        <v>3824</v>
      </c>
      <c r="H74" s="90">
        <v>3824</v>
      </c>
      <c r="I74" s="209">
        <f t="shared" si="12"/>
        <v>0</v>
      </c>
      <c r="J74" s="91">
        <f t="shared" si="13"/>
        <v>280.87</v>
      </c>
      <c r="K74" s="91">
        <v>0</v>
      </c>
      <c r="L74" s="91">
        <f t="shared" si="14"/>
        <v>3543.13</v>
      </c>
      <c r="M74" s="82"/>
      <c r="P74" s="43"/>
      <c r="Q74" s="44"/>
    </row>
    <row r="75" spans="2:17" ht="36.9" customHeight="1" x14ac:dyDescent="0.3">
      <c r="D75" s="98" t="s">
        <v>140</v>
      </c>
      <c r="E75" s="96"/>
      <c r="F75" s="95"/>
      <c r="G75" s="91"/>
      <c r="H75" s="91"/>
      <c r="I75" s="209"/>
      <c r="J75" s="91"/>
      <c r="K75" s="91"/>
      <c r="L75" s="91"/>
      <c r="M75" s="18"/>
      <c r="P75" s="43"/>
      <c r="Q75" s="44"/>
    </row>
    <row r="76" spans="2:17" ht="36.9" customHeight="1" x14ac:dyDescent="0.25">
      <c r="D76" s="96" t="s">
        <v>274</v>
      </c>
      <c r="E76" s="96" t="s">
        <v>333</v>
      </c>
      <c r="F76" s="95">
        <v>15</v>
      </c>
      <c r="G76" s="91">
        <v>3888</v>
      </c>
      <c r="H76" s="91">
        <v>3888</v>
      </c>
      <c r="I76" s="91">
        <f>IFERROR(IF(ROUND((((H76/F76*30.4)-VLOOKUP((H76/F76*30.4),TARIFA,1))*VLOOKUP((H76/F76*30.4),TARIFA,3)+VLOOKUP((H76/F76*30.4),TARIFA,2)-VLOOKUP((H76/F76*30.4),SUBSIDIO,2))/30.4*F76,2)&lt;0,ROUND(-(((H76/F76*30.4)-VLOOKUP((H76/F76*30.4),TARIFA,1))*VLOOKUP((H76/F76*30.4),TARIFA,3)+VLOOKUP((H76/F76*30.4),TARIFA,2)-VLOOKUP((H76/F76*30.4),SUBSIDIO,2))/30.4*F76,2),0),0)</f>
        <v>0</v>
      </c>
      <c r="J76" s="91">
        <f>IFERROR(IF(ROUND((((H76/F76*30.4)-VLOOKUP((H76/F76*30.4),TARIFA,1))*VLOOKUP((H76/F76*30.4),TARIFA,3)+VLOOKUP((H76/F76*30.4),TARIFA,2)-VLOOKUP((H76/F76*30.4),SUBSIDIO,2))/30.4*F76,2)&gt;0,ROUND((((H76/F76*30.4)-VLOOKUP((H76/F76*30.4),TARIFA,1))*VLOOKUP((H76/F76*30.4),TARIFA,3)+VLOOKUP((H76/F76*30.4),TARIFA,2)-VLOOKUP((H76/F76*30.4),SUBSIDIO,2))/30.4*F76,2),0),0)</f>
        <v>287.83</v>
      </c>
      <c r="K76" s="91">
        <v>0</v>
      </c>
      <c r="L76" s="91">
        <f t="shared" ref="L76" si="15">H76+I76-J76</f>
        <v>3600.17</v>
      </c>
      <c r="M76" s="18"/>
      <c r="P76" s="43"/>
      <c r="Q76" s="44"/>
    </row>
    <row r="77" spans="2:17" ht="34.5" customHeight="1" x14ac:dyDescent="0.25">
      <c r="D77" s="96" t="s">
        <v>108</v>
      </c>
      <c r="E77" s="96" t="s">
        <v>12</v>
      </c>
      <c r="F77" s="95">
        <v>15</v>
      </c>
      <c r="G77" s="91">
        <v>4009</v>
      </c>
      <c r="H77" s="91">
        <v>4009</v>
      </c>
      <c r="I77" s="209">
        <f>IFERROR(IF(ROUND((((H77/F77*30.4)-VLOOKUP((H77/F77*30.4),TARIFA,1))*VLOOKUP((H77/F77*30.4),TARIFA,3)+VLOOKUP((H77/F77*30.4),TARIFA,2)-VLOOKUP((H77/F77*30.4),SUBSIDIO,2))/30.4*F77,2)&lt;0,ROUND(-(((H77/F77*30.4)-VLOOKUP((H77/F77*30.4),TARIFA,1))*VLOOKUP((H77/F77*30.4),TARIFA,3)+VLOOKUP((H77/F77*30.4),TARIFA,2)-VLOOKUP((H77/F77*30.4),SUBSIDIO,2))/30.4*F77,2),0),0)</f>
        <v>0</v>
      </c>
      <c r="J77" s="91">
        <f>IFERROR(IF(ROUND((((H77/F77*30.4)-VLOOKUP((H77/F77*30.4),TARIFA,1))*VLOOKUP((H77/F77*30.4),TARIFA,3)+VLOOKUP((H77/F77*30.4),TARIFA,2)-VLOOKUP((H77/F77*30.4),SUBSIDIO,2))/30.4*F77,2)&gt;0,ROUND((((H77/F77*30.4)-VLOOKUP((H77/F77*30.4),TARIFA,1))*VLOOKUP((H77/F77*30.4),TARIFA,3)+VLOOKUP((H77/F77*30.4),TARIFA,2)-VLOOKUP((H77/F77*30.4),SUBSIDIO,2))/30.4*F77,2),0),0)</f>
        <v>300.99</v>
      </c>
      <c r="K77" s="91">
        <v>0</v>
      </c>
      <c r="L77" s="91">
        <f t="shared" si="14"/>
        <v>3708.01</v>
      </c>
      <c r="M77" s="18"/>
      <c r="P77" s="43"/>
      <c r="Q77" s="44"/>
    </row>
    <row r="78" spans="2:17" ht="1.5" hidden="1" customHeight="1" x14ac:dyDescent="0.25">
      <c r="D78" s="96"/>
      <c r="E78" s="96"/>
      <c r="F78" s="95"/>
      <c r="G78" s="91">
        <v>4009</v>
      </c>
      <c r="H78" s="91">
        <v>4009</v>
      </c>
      <c r="I78" s="209">
        <f>IFERROR(IF(ROUND((((H78/F78*30.4)-VLOOKUP((H78/F78*30.4),TARIFA,1))*VLOOKUP((H78/F78*30.4),TARIFA,3)+VLOOKUP((H78/F78*30.4),TARIFA,2)-VLOOKUP((H78/F78*30.4),SUBSIDIO,2))/30.4*F78,2)&lt;0,ROUND(-(((H78/F78*30.4)-VLOOKUP((H78/F78*30.4),TARIFA,1))*VLOOKUP((H78/F78*30.4),TARIFA,3)+VLOOKUP((H78/F78*30.4),TARIFA,2)-VLOOKUP((H78/F78*30.4),SUBSIDIO,2))/30.4*F78,2),0),0)</f>
        <v>0</v>
      </c>
      <c r="J78" s="91">
        <f>IFERROR(IF(ROUND((((H78/F78*30.4)-VLOOKUP((H78/F78*30.4),TARIFA,1))*VLOOKUP((H78/F78*30.4),TARIFA,3)+VLOOKUP((H78/F78*30.4),TARIFA,2)-VLOOKUP((H78/F78*30.4),SUBSIDIO,2))/30.4*F78,2)&gt;0,ROUND((((H78/F78*30.4)-VLOOKUP((H78/F78*30.4),TARIFA,1))*VLOOKUP((H78/F78*30.4),TARIFA,3)+VLOOKUP((H78/F78*30.4),TARIFA,2)-VLOOKUP((H78/F78*30.4),SUBSIDIO,2))/30.4*F78,2),0),0)</f>
        <v>0</v>
      </c>
      <c r="K78" s="91">
        <v>1</v>
      </c>
      <c r="L78" s="91">
        <f t="shared" ref="L78:L82" si="16">H78+I78-J78</f>
        <v>4009</v>
      </c>
      <c r="M78" s="18"/>
      <c r="P78" s="43"/>
      <c r="Q78" s="44"/>
    </row>
    <row r="79" spans="2:17" ht="36.9" hidden="1" customHeight="1" x14ac:dyDescent="0.25">
      <c r="D79" s="96"/>
      <c r="E79" s="96"/>
      <c r="F79" s="95"/>
      <c r="G79" s="91">
        <v>4009</v>
      </c>
      <c r="H79" s="91">
        <v>4009</v>
      </c>
      <c r="I79" s="209">
        <f>IFERROR(IF(ROUND((((H79/F79*30.4)-VLOOKUP((H79/F79*30.4),TARIFA,1))*VLOOKUP((H79/F79*30.4),TARIFA,3)+VLOOKUP((H79/F79*30.4),TARIFA,2)-VLOOKUP((H79/F79*30.4),SUBSIDIO,2))/30.4*F79,2)&lt;0,ROUND(-(((H79/F79*30.4)-VLOOKUP((H79/F79*30.4),TARIFA,1))*VLOOKUP((H79/F79*30.4),TARIFA,3)+VLOOKUP((H79/F79*30.4),TARIFA,2)-VLOOKUP((H79/F79*30.4),SUBSIDIO,2))/30.4*F79,2),0),0)</f>
        <v>0</v>
      </c>
      <c r="J79" s="91">
        <f>IFERROR(IF(ROUND((((H79/F79*30.4)-VLOOKUP((H79/F79*30.4),TARIFA,1))*VLOOKUP((H79/F79*30.4),TARIFA,3)+VLOOKUP((H79/F79*30.4),TARIFA,2)-VLOOKUP((H79/F79*30.4),SUBSIDIO,2))/30.4*F79,2)&gt;0,ROUND((((H79/F79*30.4)-VLOOKUP((H79/F79*30.4),TARIFA,1))*VLOOKUP((H79/F79*30.4),TARIFA,3)+VLOOKUP((H79/F79*30.4),TARIFA,2)-VLOOKUP((H79/F79*30.4),SUBSIDIO,2))/30.4*F79,2),0),0)</f>
        <v>0</v>
      </c>
      <c r="K79" s="91">
        <v>2</v>
      </c>
      <c r="L79" s="91">
        <f t="shared" si="16"/>
        <v>4009</v>
      </c>
      <c r="M79" s="18"/>
      <c r="P79" s="43"/>
      <c r="Q79" s="44"/>
    </row>
    <row r="80" spans="2:17" ht="3" hidden="1" customHeight="1" x14ac:dyDescent="0.25">
      <c r="D80" s="96"/>
      <c r="E80" s="96"/>
      <c r="F80" s="95"/>
      <c r="G80" s="91">
        <v>4009</v>
      </c>
      <c r="H80" s="91">
        <v>4009</v>
      </c>
      <c r="I80" s="209">
        <f>IFERROR(IF(ROUND((((H80/F80*30.4)-VLOOKUP((H80/F80*30.4),TARIFA,1))*VLOOKUP((H80/F80*30.4),TARIFA,3)+VLOOKUP((H80/F80*30.4),TARIFA,2)-VLOOKUP((H80/F80*30.4),SUBSIDIO,2))/30.4*F80,2)&lt;0,ROUND(-(((H80/F80*30.4)-VLOOKUP((H80/F80*30.4),TARIFA,1))*VLOOKUP((H80/F80*30.4),TARIFA,3)+VLOOKUP((H80/F80*30.4),TARIFA,2)-VLOOKUP((H80/F80*30.4),SUBSIDIO,2))/30.4*F80,2),0),0)</f>
        <v>0</v>
      </c>
      <c r="J80" s="91">
        <f>IFERROR(IF(ROUND((((H80/F80*30.4)-VLOOKUP((H80/F80*30.4),TARIFA,1))*VLOOKUP((H80/F80*30.4),TARIFA,3)+VLOOKUP((H80/F80*30.4),TARIFA,2)-VLOOKUP((H80/F80*30.4),SUBSIDIO,2))/30.4*F80,2)&gt;0,ROUND((((H80/F80*30.4)-VLOOKUP((H80/F80*30.4),TARIFA,1))*VLOOKUP((H80/F80*30.4),TARIFA,3)+VLOOKUP((H80/F80*30.4),TARIFA,2)-VLOOKUP((H80/F80*30.4),SUBSIDIO,2))/30.4*F80,2),0),0)</f>
        <v>0</v>
      </c>
      <c r="K80" s="91">
        <v>3</v>
      </c>
      <c r="L80" s="91">
        <f t="shared" si="16"/>
        <v>4009</v>
      </c>
      <c r="M80" s="18"/>
      <c r="P80" s="43"/>
      <c r="Q80" s="44"/>
    </row>
    <row r="81" spans="4:17" ht="42.75" customHeight="1" x14ac:dyDescent="0.3">
      <c r="D81" s="98" t="s">
        <v>252</v>
      </c>
      <c r="E81" s="96"/>
      <c r="F81" s="95"/>
      <c r="G81" s="91"/>
      <c r="H81" s="91"/>
      <c r="I81" s="209"/>
      <c r="J81" s="91"/>
      <c r="K81" s="91"/>
      <c r="L81" s="91"/>
      <c r="M81" s="18"/>
      <c r="P81" s="43"/>
      <c r="Q81" s="44"/>
    </row>
    <row r="82" spans="4:17" ht="36.9" customHeight="1" x14ac:dyDescent="0.25">
      <c r="D82" s="96" t="s">
        <v>253</v>
      </c>
      <c r="E82" s="96" t="s">
        <v>328</v>
      </c>
      <c r="F82" s="95">
        <v>15</v>
      </c>
      <c r="G82" s="91">
        <v>3888</v>
      </c>
      <c r="H82" s="91">
        <v>3888</v>
      </c>
      <c r="I82" s="209">
        <f>IFERROR(IF(ROUND((((H82/F82*30.4)-VLOOKUP((H82/F82*30.4),TARIFA,1))*VLOOKUP((H82/F82*30.4),TARIFA,3)+VLOOKUP((H82/F82*30.4),TARIFA,2)-VLOOKUP((H82/F82*30.4),SUBSIDIO,2))/30.4*F82,2)&lt;0,ROUND(-(((H82/F82*30.4)-VLOOKUP((H82/F82*30.4),TARIFA,1))*VLOOKUP((H82/F82*30.4),TARIFA,3)+VLOOKUP((H82/F82*30.4),TARIFA,2)-VLOOKUP((H82/F82*30.4),SUBSIDIO,2))/30.4*F82,2),0),0)</f>
        <v>0</v>
      </c>
      <c r="J82" s="91">
        <f>IFERROR(IF(ROUND((((H82/F82*30.4)-VLOOKUP((H82/F82*30.4),TARIFA,1))*VLOOKUP((H82/F82*30.4),TARIFA,3)+VLOOKUP((H82/F82*30.4),TARIFA,2)-VLOOKUP((H82/F82*30.4),SUBSIDIO,2))/30.4*F82,2)&gt;0,ROUND((((H82/F82*30.4)-VLOOKUP((H82/F82*30.4),TARIFA,1))*VLOOKUP((H82/F82*30.4),TARIFA,3)+VLOOKUP((H82/F82*30.4),TARIFA,2)-VLOOKUP((H82/F82*30.4),SUBSIDIO,2))/30.4*F82,2),0),0)</f>
        <v>287.83</v>
      </c>
      <c r="K82" s="91">
        <v>5</v>
      </c>
      <c r="L82" s="91">
        <f t="shared" si="16"/>
        <v>3600.17</v>
      </c>
      <c r="M82" s="18"/>
      <c r="P82" s="43"/>
      <c r="Q82" s="44"/>
    </row>
    <row r="83" spans="4:17" ht="36.9" customHeight="1" x14ac:dyDescent="0.3">
      <c r="D83" s="98" t="s">
        <v>335</v>
      </c>
      <c r="E83" s="96"/>
      <c r="F83" s="95"/>
      <c r="G83" s="91"/>
      <c r="H83" s="91"/>
      <c r="I83" s="209"/>
      <c r="J83" s="91"/>
      <c r="K83" s="91"/>
      <c r="L83" s="91"/>
      <c r="M83" s="18"/>
      <c r="P83" s="43"/>
      <c r="Q83" s="44"/>
    </row>
    <row r="84" spans="4:17" ht="36.75" customHeight="1" x14ac:dyDescent="0.25">
      <c r="D84" s="96" t="s">
        <v>259</v>
      </c>
      <c r="E84" s="233" t="s">
        <v>260</v>
      </c>
      <c r="F84" s="95">
        <v>15</v>
      </c>
      <c r="G84" s="91">
        <v>4337</v>
      </c>
      <c r="H84" s="91">
        <v>4337</v>
      </c>
      <c r="I84" s="91">
        <f>IFERROR(IF(ROUND((((H84/F84*30.4)-VLOOKUP((H84/F84*30.4),TARIFA,1))*VLOOKUP((H84/F84*30.4),TARIFA,3)+VLOOKUP((H84/F84*30.4),TARIFA,2)-VLOOKUP((H84/F84*30.4),SUBSIDIO,2))/30.4*F84,2)&lt;0,ROUND(-(((H84/F84*30.4)-VLOOKUP((H84/F84*30.4),TARIFA,1))*VLOOKUP((H84/F84*30.4),TARIFA,3)+VLOOKUP((H84/F84*30.4),TARIFA,2)-VLOOKUP((H84/F84*30.4),SUBSIDIO,2))/30.4*F84,2),0),0)</f>
        <v>0</v>
      </c>
      <c r="J84" s="91">
        <f>IFERROR(IF(ROUND((((H84/F84*30.4)-VLOOKUP((H84/F84*30.4),TARIFA,1))*VLOOKUP((H84/F84*30.4),TARIFA,3)+VLOOKUP((H84/F84*30.4),TARIFA,2)-VLOOKUP((H84/F84*30.4),SUBSIDIO,2))/30.4*F84,2)&gt;0,ROUND((((H84/F84*30.4)-VLOOKUP((H84/F84*30.4),TARIFA,1))*VLOOKUP((H84/F84*30.4),TARIFA,3)+VLOOKUP((H84/F84*30.4),TARIFA,2)-VLOOKUP((H84/F84*30.4),SUBSIDIO,2))/30.4*F84,2),0),0)</f>
        <v>336.68</v>
      </c>
      <c r="K84" s="91">
        <v>0</v>
      </c>
      <c r="L84" s="91">
        <f t="shared" ref="L84" si="17">H84+I84-J84</f>
        <v>4000.32</v>
      </c>
      <c r="M84" s="18"/>
      <c r="P84" s="43"/>
      <c r="Q84" s="44"/>
    </row>
    <row r="85" spans="4:17" ht="36.9" customHeight="1" x14ac:dyDescent="0.25">
      <c r="D85" s="72"/>
      <c r="E85" s="72"/>
      <c r="F85" s="65"/>
      <c r="G85" s="73">
        <f>SUM(G69:G84)</f>
        <v>46914</v>
      </c>
      <c r="H85" s="73">
        <f>SUM(H69:H84)</f>
        <v>46914</v>
      </c>
      <c r="I85" s="73">
        <f>SUM(I69:I84)</f>
        <v>0</v>
      </c>
      <c r="J85" s="73">
        <f>SUM(J69:J84)</f>
        <v>2433.6499999999996</v>
      </c>
      <c r="K85" s="73">
        <f t="shared" ref="K85" si="18">SUM(K69:K84)</f>
        <v>11</v>
      </c>
      <c r="L85" s="73">
        <f>SUM(L69:L84)</f>
        <v>44480.35</v>
      </c>
      <c r="M85" s="66"/>
      <c r="N85" s="74"/>
      <c r="P85" s="43"/>
      <c r="Q85" s="44"/>
    </row>
    <row r="86" spans="4:17" ht="21.9" customHeight="1" x14ac:dyDescent="0.35">
      <c r="D86" s="448"/>
      <c r="E86" s="448"/>
      <c r="F86" s="448"/>
      <c r="G86" s="448"/>
      <c r="H86" s="448"/>
      <c r="I86" s="448"/>
      <c r="J86" s="448"/>
      <c r="K86" s="448"/>
      <c r="L86" s="448"/>
      <c r="M86" s="448"/>
      <c r="P86" s="43"/>
      <c r="Q86" s="44"/>
    </row>
    <row r="87" spans="4:17" ht="21.9" customHeight="1" x14ac:dyDescent="0.35">
      <c r="D87" s="448"/>
      <c r="E87" s="448"/>
      <c r="F87" s="448"/>
      <c r="G87" s="448"/>
      <c r="H87" s="448"/>
      <c r="I87" s="448"/>
      <c r="J87" s="448"/>
      <c r="K87" s="448"/>
      <c r="L87" s="448"/>
      <c r="M87" s="448"/>
      <c r="P87" s="43"/>
      <c r="Q87" s="44"/>
    </row>
    <row r="88" spans="4:17" ht="21.9" customHeight="1" x14ac:dyDescent="0.35">
      <c r="D88" s="448"/>
      <c r="E88" s="448"/>
      <c r="F88" s="448"/>
      <c r="G88" s="448"/>
      <c r="H88" s="448"/>
      <c r="I88" s="448"/>
      <c r="J88" s="448"/>
      <c r="K88" s="448"/>
      <c r="L88" s="448"/>
      <c r="M88" s="448"/>
      <c r="P88" s="43"/>
      <c r="Q88" s="44"/>
    </row>
    <row r="89" spans="4:17" ht="21.9" customHeight="1" x14ac:dyDescent="0.35">
      <c r="D89" s="448"/>
      <c r="E89" s="448"/>
      <c r="F89" s="448"/>
      <c r="G89" s="448"/>
      <c r="H89" s="448"/>
      <c r="I89" s="448"/>
      <c r="J89" s="448"/>
      <c r="K89" s="448"/>
      <c r="L89" s="448"/>
      <c r="M89" s="448"/>
      <c r="P89" s="43"/>
      <c r="Q89" s="44"/>
    </row>
    <row r="90" spans="4:17" ht="21.9" customHeight="1" x14ac:dyDescent="0.25">
      <c r="D90" s="269"/>
      <c r="E90" s="269"/>
      <c r="F90" s="263" t="s">
        <v>3</v>
      </c>
      <c r="G90" s="270"/>
      <c r="H90" s="445" t="s">
        <v>120</v>
      </c>
      <c r="I90" s="446"/>
      <c r="J90" s="445"/>
      <c r="K90" s="447"/>
      <c r="L90" s="447"/>
      <c r="M90" s="263"/>
      <c r="P90" s="43"/>
      <c r="Q90" s="44"/>
    </row>
    <row r="91" spans="4:17" ht="13.5" customHeight="1" x14ac:dyDescent="0.25">
      <c r="D91" s="259"/>
      <c r="E91" s="259"/>
      <c r="F91" s="262" t="s">
        <v>4</v>
      </c>
      <c r="G91" s="263" t="s">
        <v>1</v>
      </c>
      <c r="H91" s="263" t="s">
        <v>121</v>
      </c>
      <c r="I91" s="271" t="s">
        <v>124</v>
      </c>
      <c r="J91" s="264"/>
      <c r="K91" s="264" t="s">
        <v>138</v>
      </c>
      <c r="L91" s="264" t="s">
        <v>123</v>
      </c>
      <c r="M91" s="259" t="s">
        <v>128</v>
      </c>
      <c r="P91" s="43"/>
      <c r="Q91" s="44"/>
    </row>
    <row r="92" spans="4:17" ht="21.9" customHeight="1" x14ac:dyDescent="0.25">
      <c r="D92" s="265"/>
      <c r="E92" s="265" t="s">
        <v>8</v>
      </c>
      <c r="F92" s="259"/>
      <c r="G92" s="259" t="s">
        <v>6</v>
      </c>
      <c r="H92" s="259" t="s">
        <v>123</v>
      </c>
      <c r="I92" s="272" t="s">
        <v>125</v>
      </c>
      <c r="J92" s="263" t="s">
        <v>126</v>
      </c>
      <c r="K92" s="263" t="s">
        <v>139</v>
      </c>
      <c r="L92" s="263" t="s">
        <v>129</v>
      </c>
      <c r="M92" s="259"/>
      <c r="P92" s="43"/>
      <c r="Q92" s="44"/>
    </row>
    <row r="93" spans="4:17" ht="21.9" customHeight="1" x14ac:dyDescent="0.25">
      <c r="D93" s="267" t="s">
        <v>10</v>
      </c>
      <c r="E93" s="267" t="s">
        <v>7</v>
      </c>
      <c r="F93" s="264"/>
      <c r="G93" s="264"/>
      <c r="H93" s="264"/>
      <c r="I93" s="273"/>
      <c r="J93" s="264"/>
      <c r="K93" s="264"/>
      <c r="L93" s="264"/>
      <c r="M93" s="264"/>
      <c r="P93" s="43"/>
      <c r="Q93" s="44"/>
    </row>
    <row r="94" spans="4:17" ht="36.9" customHeight="1" x14ac:dyDescent="0.3">
      <c r="D94" s="100" t="s">
        <v>41</v>
      </c>
      <c r="E94" s="101"/>
      <c r="F94" s="102"/>
      <c r="G94" s="103"/>
      <c r="H94" s="103"/>
      <c r="I94" s="211"/>
      <c r="J94" s="92"/>
      <c r="K94" s="92"/>
      <c r="L94" s="92"/>
      <c r="M94" s="55"/>
      <c r="P94" s="43"/>
      <c r="Q94" s="44"/>
    </row>
    <row r="95" spans="4:17" ht="36.9" customHeight="1" x14ac:dyDescent="0.25">
      <c r="D95" s="93" t="s">
        <v>360</v>
      </c>
      <c r="E95" s="94" t="s">
        <v>91</v>
      </c>
      <c r="F95" s="89">
        <v>15</v>
      </c>
      <c r="G95" s="91">
        <v>1694</v>
      </c>
      <c r="H95" s="91">
        <v>1694</v>
      </c>
      <c r="I95" s="209">
        <f t="shared" ref="I95:I101" si="19">IFERROR(IF(ROUND((((H95/F95*30.4)-VLOOKUP((H95/F95*30.4),TARIFA,1))*VLOOKUP((H95/F95*30.4),TARIFA,3)+VLOOKUP((H95/F95*30.4),TARIFA,2)-VLOOKUP((H95/F95*30.4),SUBSIDIO,2))/30.4*F95,2)&lt;0,ROUND(-(((H95/F95*30.4)-VLOOKUP((H95/F95*30.4),TARIFA,1))*VLOOKUP((H95/F95*30.4),TARIFA,3)+VLOOKUP((H95/F95*30.4),TARIFA,2)-VLOOKUP((H95/F95*30.4),SUBSIDIO,2))/30.4*F95,2),0),0)</f>
        <v>106.47</v>
      </c>
      <c r="J95" s="91">
        <f t="shared" ref="J95:J104" si="20">IFERROR(IF(ROUND((((H95/F95*30.4)-VLOOKUP((H95/F95*30.4),TARIFA,1))*VLOOKUP((H95/F95*30.4),TARIFA,3)+VLOOKUP((H95/F95*30.4),TARIFA,2)-VLOOKUP((H95/F95*30.4),SUBSIDIO,2))/30.4*F95,2)&gt;0,ROUND((((H95/F95*30.4)-VLOOKUP((H95/F95*30.4),TARIFA,1))*VLOOKUP((H95/F95*30.4),TARIFA,3)+VLOOKUP((H95/F95*30.4),TARIFA,2)-VLOOKUP((H95/F95*30.4),SUBSIDIO,2))/30.4*F95,2),0),0)</f>
        <v>0</v>
      </c>
      <c r="K95" s="91">
        <v>0</v>
      </c>
      <c r="L95" s="91">
        <f t="shared" ref="L95:L104" si="21">H95+I95-J95</f>
        <v>1800.47</v>
      </c>
      <c r="M95" s="18"/>
      <c r="P95" s="43"/>
      <c r="Q95" s="44"/>
    </row>
    <row r="96" spans="4:17" ht="36.9" customHeight="1" x14ac:dyDescent="0.25">
      <c r="D96" s="96" t="s">
        <v>308</v>
      </c>
      <c r="E96" s="233" t="s">
        <v>72</v>
      </c>
      <c r="F96" s="95">
        <v>15</v>
      </c>
      <c r="G96" s="91">
        <v>1694</v>
      </c>
      <c r="H96" s="91">
        <v>1694</v>
      </c>
      <c r="I96" s="209">
        <f t="shared" si="19"/>
        <v>106.47</v>
      </c>
      <c r="J96" s="91">
        <f t="shared" si="20"/>
        <v>0</v>
      </c>
      <c r="K96" s="91">
        <v>0</v>
      </c>
      <c r="L96" s="91">
        <f t="shared" si="21"/>
        <v>1800.47</v>
      </c>
      <c r="M96" s="18"/>
      <c r="P96" s="43"/>
      <c r="Q96" s="44"/>
    </row>
    <row r="97" spans="4:17" ht="36.9" customHeight="1" x14ac:dyDescent="0.25">
      <c r="D97" s="96" t="s">
        <v>371</v>
      </c>
      <c r="E97" s="233" t="s">
        <v>75</v>
      </c>
      <c r="F97" s="95">
        <v>15</v>
      </c>
      <c r="G97" s="91">
        <v>1694</v>
      </c>
      <c r="H97" s="91">
        <v>1694</v>
      </c>
      <c r="I97" s="209">
        <f t="shared" si="19"/>
        <v>106.47</v>
      </c>
      <c r="J97" s="91">
        <f t="shared" si="20"/>
        <v>0</v>
      </c>
      <c r="K97" s="91">
        <v>0</v>
      </c>
      <c r="L97" s="91">
        <f t="shared" si="21"/>
        <v>1800.47</v>
      </c>
      <c r="M97" s="18"/>
      <c r="P97" s="43"/>
      <c r="Q97" s="44"/>
    </row>
    <row r="98" spans="4:17" ht="36.9" customHeight="1" x14ac:dyDescent="0.25">
      <c r="D98" s="96" t="s">
        <v>307</v>
      </c>
      <c r="E98" s="233" t="s">
        <v>76</v>
      </c>
      <c r="F98" s="95">
        <v>15</v>
      </c>
      <c r="G98" s="91">
        <v>1694</v>
      </c>
      <c r="H98" s="91">
        <v>1694</v>
      </c>
      <c r="I98" s="209">
        <f t="shared" si="19"/>
        <v>106.47</v>
      </c>
      <c r="J98" s="91">
        <f t="shared" si="20"/>
        <v>0</v>
      </c>
      <c r="K98" s="91">
        <v>0</v>
      </c>
      <c r="L98" s="91">
        <f t="shared" si="21"/>
        <v>1800.47</v>
      </c>
      <c r="M98" s="18"/>
      <c r="P98" s="43"/>
      <c r="Q98" s="44"/>
    </row>
    <row r="99" spans="4:17" ht="36.9" customHeight="1" x14ac:dyDescent="0.25">
      <c r="D99" s="96" t="s">
        <v>305</v>
      </c>
      <c r="E99" s="233" t="s">
        <v>92</v>
      </c>
      <c r="F99" s="95">
        <v>15</v>
      </c>
      <c r="G99" s="91">
        <v>1694</v>
      </c>
      <c r="H99" s="91">
        <v>1694</v>
      </c>
      <c r="I99" s="209">
        <f t="shared" si="19"/>
        <v>106.47</v>
      </c>
      <c r="J99" s="91">
        <f t="shared" ref="J99" si="22">IFERROR(IF(ROUND((((H99/F99*30.4)-VLOOKUP((H99/F99*30.4),TARIFA,1))*VLOOKUP((H99/F99*30.4),TARIFA,3)+VLOOKUP((H99/F99*30.4),TARIFA,2)-VLOOKUP((H99/F99*30.4),SUBSIDIO,2))/30.4*F99,2)&gt;0,ROUND((((H99/F99*30.4)-VLOOKUP((H99/F99*30.4),TARIFA,1))*VLOOKUP((H99/F99*30.4),TARIFA,3)+VLOOKUP((H99/F99*30.4),TARIFA,2)-VLOOKUP((H99/F99*30.4),SUBSIDIO,2))/30.4*F99,2),0),0)</f>
        <v>0</v>
      </c>
      <c r="K99" s="91">
        <v>0</v>
      </c>
      <c r="L99" s="91">
        <f t="shared" si="21"/>
        <v>1800.47</v>
      </c>
      <c r="M99" s="18"/>
      <c r="P99" s="43"/>
      <c r="Q99" s="44"/>
    </row>
    <row r="100" spans="4:17" ht="36.9" customHeight="1" x14ac:dyDescent="0.25">
      <c r="D100" s="96" t="s">
        <v>306</v>
      </c>
      <c r="E100" s="233" t="s">
        <v>93</v>
      </c>
      <c r="F100" s="95">
        <v>15</v>
      </c>
      <c r="G100" s="91">
        <v>1694</v>
      </c>
      <c r="H100" s="91">
        <v>1694</v>
      </c>
      <c r="I100" s="209">
        <f t="shared" si="19"/>
        <v>106.47</v>
      </c>
      <c r="J100" s="91">
        <f t="shared" si="20"/>
        <v>0</v>
      </c>
      <c r="K100" s="91">
        <v>0</v>
      </c>
      <c r="L100" s="91">
        <f t="shared" si="21"/>
        <v>1800.47</v>
      </c>
      <c r="M100" s="18"/>
      <c r="P100" s="43"/>
      <c r="Q100" s="44"/>
    </row>
    <row r="101" spans="4:17" ht="47.25" customHeight="1" x14ac:dyDescent="0.25">
      <c r="D101" s="96" t="s">
        <v>363</v>
      </c>
      <c r="E101" s="233" t="s">
        <v>94</v>
      </c>
      <c r="F101" s="95">
        <v>15</v>
      </c>
      <c r="G101" s="91">
        <v>1694</v>
      </c>
      <c r="H101" s="91">
        <v>1694</v>
      </c>
      <c r="I101" s="209">
        <f t="shared" si="19"/>
        <v>106.47</v>
      </c>
      <c r="J101" s="91">
        <f t="shared" si="20"/>
        <v>0</v>
      </c>
      <c r="K101" s="91">
        <v>0</v>
      </c>
      <c r="L101" s="91">
        <f t="shared" si="21"/>
        <v>1800.47</v>
      </c>
      <c r="M101" s="18"/>
      <c r="P101" s="43"/>
      <c r="Q101" s="44"/>
    </row>
    <row r="102" spans="4:17" ht="36.9" customHeight="1" x14ac:dyDescent="0.3">
      <c r="D102" s="98" t="s">
        <v>42</v>
      </c>
      <c r="E102" s="96"/>
      <c r="F102" s="95"/>
      <c r="G102" s="91"/>
      <c r="H102" s="91"/>
      <c r="I102" s="209"/>
      <c r="J102" s="91"/>
      <c r="K102" s="91"/>
      <c r="L102" s="91"/>
      <c r="M102" s="18"/>
      <c r="P102" s="43"/>
      <c r="Q102" s="44"/>
    </row>
    <row r="103" spans="4:17" ht="36.9" customHeight="1" x14ac:dyDescent="0.25">
      <c r="D103" s="96" t="s">
        <v>43</v>
      </c>
      <c r="E103" s="96" t="s">
        <v>44</v>
      </c>
      <c r="F103" s="95">
        <v>15</v>
      </c>
      <c r="G103" s="91">
        <v>4137</v>
      </c>
      <c r="H103" s="91">
        <v>4137</v>
      </c>
      <c r="I103" s="209">
        <f>IFERROR(IF(ROUND((((H103/F103*30.4)-VLOOKUP((H103/F103*30.4),TARIFA,1))*VLOOKUP((H103/F103*30.4),TARIFA,3)+VLOOKUP((H103/F103*30.4),TARIFA,2)-VLOOKUP((H103/F103*30.4),SUBSIDIO,2))/30.4*F103,2)&lt;0,ROUND(-(((H103/F103*30.4)-VLOOKUP((H103/F103*30.4),TARIFA,1))*VLOOKUP((H103/F103*30.4),TARIFA,3)+VLOOKUP((H103/F103*30.4),TARIFA,2)-VLOOKUP((H103/F103*30.4),SUBSIDIO,2))/30.4*F103,2),0),0)</f>
        <v>0</v>
      </c>
      <c r="J103" s="91">
        <f t="shared" si="20"/>
        <v>314.92</v>
      </c>
      <c r="K103" s="91">
        <v>0</v>
      </c>
      <c r="L103" s="91">
        <f t="shared" si="21"/>
        <v>3822.08</v>
      </c>
      <c r="M103" s="18"/>
      <c r="P103" s="43"/>
      <c r="Q103" s="44"/>
    </row>
    <row r="104" spans="4:17" ht="36.9" customHeight="1" x14ac:dyDescent="0.25">
      <c r="D104" s="96" t="s">
        <v>45</v>
      </c>
      <c r="E104" s="233" t="s">
        <v>46</v>
      </c>
      <c r="F104" s="95">
        <v>15</v>
      </c>
      <c r="G104" s="91">
        <v>3355</v>
      </c>
      <c r="H104" s="91">
        <v>3355</v>
      </c>
      <c r="I104" s="209">
        <f>IFERROR(IF(ROUND((((H104/F104*30.4)-VLOOKUP((H104/F104*30.4),TARIFA,1))*VLOOKUP((H104/F104*30.4),TARIFA,3)+VLOOKUP((H104/F104*30.4),TARIFA,2)-VLOOKUP((H104/F104*30.4),SUBSIDIO,2))/30.4*F104,2)&lt;0,ROUND(-(((H104/F104*30.4)-VLOOKUP((H104/F104*30.4),TARIFA,1))*VLOOKUP((H104/F104*30.4),TARIFA,3)+VLOOKUP((H104/F104*30.4),TARIFA,2)-VLOOKUP((H104/F104*30.4),SUBSIDIO,2))/30.4*F104,2),0),0)</f>
        <v>0</v>
      </c>
      <c r="J104" s="91">
        <f t="shared" si="20"/>
        <v>104.74</v>
      </c>
      <c r="K104" s="91">
        <v>0</v>
      </c>
      <c r="L104" s="91">
        <f t="shared" si="21"/>
        <v>3250.26</v>
      </c>
      <c r="M104" s="18"/>
      <c r="P104" s="43"/>
      <c r="Q104" s="44"/>
    </row>
    <row r="105" spans="4:17" ht="36.9" customHeight="1" x14ac:dyDescent="0.25">
      <c r="D105" s="4"/>
      <c r="E105" s="4"/>
      <c r="F105" s="5"/>
      <c r="G105" s="18"/>
      <c r="H105" s="18"/>
      <c r="I105" s="210"/>
      <c r="J105" s="18"/>
      <c r="K105" s="18"/>
      <c r="L105" s="18"/>
      <c r="M105" s="18"/>
      <c r="P105" s="43"/>
      <c r="Q105" s="44"/>
    </row>
    <row r="106" spans="4:17" ht="36.9" customHeight="1" x14ac:dyDescent="0.25">
      <c r="D106" s="19"/>
      <c r="E106" s="19"/>
      <c r="F106" s="60"/>
      <c r="G106" s="23"/>
      <c r="H106" s="24"/>
      <c r="I106" s="212"/>
      <c r="J106" s="25"/>
      <c r="K106" s="25"/>
      <c r="L106" s="25"/>
      <c r="M106" s="25"/>
    </row>
    <row r="107" spans="4:17" ht="36.9" customHeight="1" thickBot="1" x14ac:dyDescent="0.35">
      <c r="D107" s="431"/>
      <c r="E107" s="431"/>
      <c r="F107" s="431"/>
      <c r="G107" s="275">
        <f>G104+G103+G101+G100+G99+G98+G97+G96+G95+G84+G82+G77+G76+G74+G73+G72+G71+G70+G56+G55+G53+G52+G50+G49+G48+G47+G45+G32+G30+G29+G28+G26+G24+G23+G21+G20+G19+G17+G16+G14+G12+G58</f>
        <v>209908</v>
      </c>
      <c r="H107" s="275">
        <f>H104+H103+H101+H100+H99+H98+H97++H96+H95+H84+H82+H77+H76+H74+H73+H72+H71+H70+H69+H58+H56+H55+H53+H52+H50+H49+H48+H47+H45+H32+H30+H29+H28+H26+H24+H23+H21+H20+H19+H17+H16+H14+H12</f>
        <v>209908</v>
      </c>
      <c r="I107" s="275">
        <f>I122+I85+I59+I33</f>
        <v>753.95</v>
      </c>
      <c r="J107" s="275">
        <f>J104+J103+J101+J100+J99+J98+J97+J96+J95+J84+J82+J77+J76+J74+J73+J72+J71+J70+J69+J58+J56+J55+J53+J52+J50+J49+J48+J47+J45+J32+J30+J29+J28+J26+J24+J23+J21+J20+J19+J17+J16+J14+J12</f>
        <v>21429.56</v>
      </c>
      <c r="K107" s="275">
        <f t="shared" ref="K107" si="23">K122+K85+K59+K33</f>
        <v>11</v>
      </c>
      <c r="L107" s="275">
        <f>G107+I107-J107</f>
        <v>189232.39</v>
      </c>
      <c r="M107" s="276"/>
      <c r="P107" s="44"/>
      <c r="Q107" s="44"/>
    </row>
    <row r="108" spans="4:17" ht="13.8" thickTop="1" x14ac:dyDescent="0.25">
      <c r="G108" s="237">
        <f>SUM(G95:G104)</f>
        <v>19350</v>
      </c>
      <c r="H108" s="237">
        <f t="shared" ref="H108:L108" si="24">SUM(H95:H104)</f>
        <v>19350</v>
      </c>
      <c r="I108" s="237">
        <f t="shared" si="24"/>
        <v>745.29000000000008</v>
      </c>
      <c r="J108" s="237">
        <f t="shared" si="24"/>
        <v>419.66</v>
      </c>
      <c r="K108" s="237">
        <f t="shared" si="24"/>
        <v>0</v>
      </c>
      <c r="L108" s="237">
        <f t="shared" si="24"/>
        <v>19675.629999999997</v>
      </c>
    </row>
    <row r="109" spans="4:17" x14ac:dyDescent="0.25">
      <c r="G109" s="237"/>
      <c r="H109" s="237"/>
      <c r="I109" s="238"/>
      <c r="J109" s="237"/>
      <c r="K109" s="237"/>
      <c r="L109" s="237">
        <f>L104+L103+L101+L100+L99+L98+L97+L96+L95+L84+L82+L77+L76+L74+L73+L72+L71+L70+L69+L58+L56+L55+L53+L52+L50+L49+L48+L47+L45+L32+L30+L29+L28+L26+L24+L23+L21+L20+L19+L17+L16+L14+L12</f>
        <v>189232.39</v>
      </c>
    </row>
    <row r="110" spans="4:17" x14ac:dyDescent="0.25">
      <c r="G110" s="237">
        <f>G108+G85+G58+G33</f>
        <v>181177</v>
      </c>
      <c r="H110" s="237">
        <f>H108+H85+H58+H33</f>
        <v>181177</v>
      </c>
      <c r="I110" s="238">
        <f>I108+I85+I58+I33</f>
        <v>753.95</v>
      </c>
      <c r="J110" s="237">
        <f>J108+J85+J58+J33</f>
        <v>13803.369999999999</v>
      </c>
      <c r="K110" s="237"/>
      <c r="L110" s="237">
        <f>L108+L85+L58+L33</f>
        <v>146316.58000000002</v>
      </c>
    </row>
    <row r="111" spans="4:17" x14ac:dyDescent="0.25">
      <c r="G111" s="237" t="e">
        <f>G104+G103+G101+G100+G99+G98+G97+G96+G95+G77+G74+G73+G72+G71+G70+G69+G57+G56+G55+G53+G50+G49+G48+G47+#REF!+G45+#REF!+#REF!+G30+G29+G28+G26+G24+G23+G21+G20+G19+G14+G12</f>
        <v>#REF!</v>
      </c>
      <c r="H111" s="237" t="e">
        <f>H104+H103+H101+H100+H99+H98+H97+H96+H95+H77+H74+H73+H72+H71+H70+H69+H57+H56+H55+H53+H50+H49+H48+H47+#REF!+H45+#REF!+#REF!+H30+H29+H28+H26+H24+H23+H21+H20+H19+H14+H12</f>
        <v>#REF!</v>
      </c>
      <c r="I111" s="238"/>
      <c r="J111" s="237"/>
      <c r="K111" s="237"/>
      <c r="L111" s="237"/>
    </row>
    <row r="112" spans="4:17" x14ac:dyDescent="0.25">
      <c r="G112" s="234"/>
      <c r="H112" s="234"/>
      <c r="I112" s="235"/>
      <c r="J112" s="234"/>
      <c r="K112" s="59"/>
      <c r="L112" s="59"/>
    </row>
    <row r="113" spans="4:13" x14ac:dyDescent="0.25">
      <c r="G113" s="236"/>
      <c r="H113" s="236"/>
      <c r="I113" s="235"/>
      <c r="J113" s="236"/>
    </row>
    <row r="114" spans="4:13" x14ac:dyDescent="0.25">
      <c r="G114" s="236"/>
      <c r="H114" s="234"/>
      <c r="I114" s="235"/>
      <c r="J114" s="236"/>
    </row>
    <row r="115" spans="4:13" x14ac:dyDescent="0.25">
      <c r="D115" s="14" t="s">
        <v>95</v>
      </c>
      <c r="G115" s="236"/>
      <c r="H115" s="236"/>
      <c r="I115" s="235"/>
      <c r="J115" s="236"/>
      <c r="L115" s="52"/>
      <c r="M115" s="52"/>
    </row>
    <row r="116" spans="4:13" x14ac:dyDescent="0.25">
      <c r="D116" s="27" t="s">
        <v>346</v>
      </c>
      <c r="G116" s="236"/>
      <c r="H116" s="236"/>
      <c r="I116" s="235"/>
      <c r="J116" s="236"/>
      <c r="L116" s="442" t="s">
        <v>347</v>
      </c>
      <c r="M116" s="442"/>
    </row>
    <row r="117" spans="4:13" x14ac:dyDescent="0.25">
      <c r="D117" s="28" t="s">
        <v>9</v>
      </c>
      <c r="E117" s="28"/>
      <c r="G117" s="236"/>
      <c r="H117" s="236"/>
      <c r="I117" s="235"/>
      <c r="J117" s="236"/>
      <c r="L117" s="443" t="s">
        <v>131</v>
      </c>
      <c r="M117" s="443"/>
    </row>
    <row r="118" spans="4:13" x14ac:dyDescent="0.25">
      <c r="G118" s="236"/>
      <c r="H118" s="236"/>
      <c r="I118" s="235"/>
      <c r="J118" s="235"/>
      <c r="K118" s="43"/>
    </row>
    <row r="119" spans="4:13" x14ac:dyDescent="0.25">
      <c r="G119" s="236"/>
      <c r="H119" s="236"/>
      <c r="I119" s="235"/>
      <c r="J119" s="235"/>
      <c r="K119" s="43"/>
    </row>
    <row r="120" spans="4:13" x14ac:dyDescent="0.25">
      <c r="G120" s="236"/>
      <c r="H120" s="236"/>
      <c r="I120" s="235"/>
      <c r="J120" s="235"/>
      <c r="K120" s="43"/>
    </row>
    <row r="121" spans="4:13" x14ac:dyDescent="0.25">
      <c r="G121" s="236"/>
      <c r="H121" s="236"/>
      <c r="I121" s="235"/>
      <c r="J121" s="235"/>
      <c r="K121" s="43"/>
      <c r="L121" s="59">
        <f>SUM(L95:L104)</f>
        <v>19675.629999999997</v>
      </c>
      <c r="M121" s="59">
        <f>L104+L103+L101+L100+L99+L98+L97+L96+L95+L84+L82+L77+L76+L74+L73+L72+L71+L70+L69+L58+L56+L55+L53+L52+L50+L49+L48+L47+L45+L32+L30+L29+L28+L26+L24+L23+L21+L20+L19+L17+L16+L14+L12</f>
        <v>189232.39</v>
      </c>
    </row>
    <row r="122" spans="4:13" x14ac:dyDescent="0.25">
      <c r="D122" s="29"/>
      <c r="G122" s="234">
        <f>SUM(G95:G104)</f>
        <v>19350</v>
      </c>
      <c r="H122" s="234">
        <f t="shared" ref="H122:K122" si="25">SUM(H95:H104)</f>
        <v>19350</v>
      </c>
      <c r="I122" s="234">
        <f>SUM(I95:I104)</f>
        <v>745.29000000000008</v>
      </c>
      <c r="J122" s="234">
        <f>SUM(J95:J104)</f>
        <v>419.66</v>
      </c>
      <c r="K122" s="234">
        <f t="shared" si="25"/>
        <v>0</v>
      </c>
      <c r="L122" s="234">
        <f>SUM(L95:L104)</f>
        <v>19675.629999999997</v>
      </c>
    </row>
    <row r="123" spans="4:13" x14ac:dyDescent="0.25">
      <c r="D123" s="30"/>
      <c r="E123" s="28"/>
      <c r="F123" s="28"/>
      <c r="G123" s="28"/>
      <c r="H123" s="28"/>
      <c r="I123" s="213"/>
      <c r="J123" s="28"/>
      <c r="K123" s="28"/>
      <c r="L123" s="28"/>
      <c r="M123" s="28"/>
    </row>
    <row r="124" spans="4:13" x14ac:dyDescent="0.25">
      <c r="E124" s="261"/>
    </row>
    <row r="126" spans="4:13" x14ac:dyDescent="0.25">
      <c r="G126" s="59">
        <f>G122+G85+G59+G33</f>
        <v>243746</v>
      </c>
      <c r="L126" s="59">
        <f>L122+L85+L59+L33</f>
        <v>201259.39</v>
      </c>
    </row>
    <row r="128" spans="4:13" x14ac:dyDescent="0.25">
      <c r="D128" s="27"/>
      <c r="G128" s="27"/>
      <c r="M128" s="59">
        <f>L108+L85+L58+L33</f>
        <v>146316.58000000002</v>
      </c>
    </row>
    <row r="143" spans="4:13" x14ac:dyDescent="0.25">
      <c r="D143" s="27"/>
      <c r="G143" s="27"/>
    </row>
    <row r="144" spans="4:13" x14ac:dyDescent="0.25">
      <c r="D144" s="28"/>
      <c r="E144" s="28"/>
      <c r="F144" s="28"/>
      <c r="G144" s="28"/>
      <c r="H144" s="28"/>
      <c r="I144" s="213"/>
      <c r="J144" s="28"/>
      <c r="K144" s="28"/>
      <c r="L144" s="28"/>
      <c r="M144" s="28"/>
    </row>
  </sheetData>
  <sheetProtection selectLockedCells="1" selectUnlockedCells="1"/>
  <mergeCells count="27">
    <mergeCell ref="D4:M4"/>
    <mergeCell ref="D87:M87"/>
    <mergeCell ref="D88:M88"/>
    <mergeCell ref="D89:M89"/>
    <mergeCell ref="D3:M3"/>
    <mergeCell ref="D5:M5"/>
    <mergeCell ref="J7:L7"/>
    <mergeCell ref="H7:I7"/>
    <mergeCell ref="D6:M6"/>
    <mergeCell ref="D36:M36"/>
    <mergeCell ref="D37:M37"/>
    <mergeCell ref="D61:M61"/>
    <mergeCell ref="D62:M62"/>
    <mergeCell ref="D86:M86"/>
    <mergeCell ref="D63:M63"/>
    <mergeCell ref="D107:F107"/>
    <mergeCell ref="L116:M116"/>
    <mergeCell ref="L117:M117"/>
    <mergeCell ref="D34:M34"/>
    <mergeCell ref="H38:I38"/>
    <mergeCell ref="J38:L38"/>
    <mergeCell ref="D60:M60"/>
    <mergeCell ref="H64:I64"/>
    <mergeCell ref="J64:L64"/>
    <mergeCell ref="D35:M35"/>
    <mergeCell ref="H90:I90"/>
    <mergeCell ref="J90:L90"/>
  </mergeCells>
  <phoneticPr fontId="0" type="noConversion"/>
  <pageMargins left="0.39370078740157483" right="0.19685039370078741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IE194"/>
  <sheetViews>
    <sheetView zoomScale="68" zoomScaleNormal="68" workbookViewId="0">
      <selection activeCell="E108" sqref="E108"/>
    </sheetView>
  </sheetViews>
  <sheetFormatPr baseColWidth="10" defaultColWidth="11.44140625" defaultRowHeight="13.2" x14ac:dyDescent="0.25"/>
  <cols>
    <col min="1" max="1" width="11.44140625" style="1"/>
    <col min="2" max="2" width="6.44140625" style="1" customWidth="1"/>
    <col min="3" max="3" width="5.109375" style="1" hidden="1" customWidth="1"/>
    <col min="4" max="4" width="89" style="1" customWidth="1"/>
    <col min="5" max="5" width="78" style="1" customWidth="1"/>
    <col min="6" max="6" width="8.33203125" style="1" customWidth="1"/>
    <col min="7" max="7" width="26.33203125" style="1" customWidth="1"/>
    <col min="8" max="8" width="24.5546875" style="1" customWidth="1"/>
    <col min="9" max="9" width="16.109375" style="46" bestFit="1" customWidth="1"/>
    <col min="10" max="10" width="17.88671875" style="46" bestFit="1" customWidth="1"/>
    <col min="11" max="11" width="19.44140625" style="1" hidden="1" customWidth="1"/>
    <col min="12" max="12" width="24.88671875" style="1" customWidth="1"/>
    <col min="13" max="13" width="138.5546875" style="1" customWidth="1"/>
    <col min="14" max="15" width="11.44140625" style="1"/>
    <col min="16" max="16" width="12.109375" style="1" bestFit="1" customWidth="1"/>
    <col min="17" max="16384" width="11.44140625" style="1"/>
  </cols>
  <sheetData>
    <row r="2" spans="4:17" x14ac:dyDescent="0.25">
      <c r="D2" s="11"/>
      <c r="E2" s="11"/>
      <c r="F2" s="11"/>
      <c r="G2" s="11"/>
      <c r="H2" s="11"/>
      <c r="I2" s="214"/>
      <c r="J2" s="214"/>
      <c r="K2" s="11"/>
      <c r="L2" s="11"/>
      <c r="M2" s="11"/>
    </row>
    <row r="3" spans="4:17" ht="35.1" customHeight="1" x14ac:dyDescent="0.3">
      <c r="D3" s="452"/>
      <c r="E3" s="452"/>
      <c r="F3" s="452"/>
      <c r="G3" s="452"/>
      <c r="H3" s="452"/>
      <c r="I3" s="452"/>
      <c r="J3" s="452"/>
      <c r="K3" s="452"/>
      <c r="L3" s="452"/>
      <c r="M3" s="453"/>
    </row>
    <row r="4" spans="4:17" ht="35.1" customHeight="1" x14ac:dyDescent="0.3">
      <c r="D4" s="461"/>
      <c r="E4" s="461"/>
      <c r="F4" s="461"/>
      <c r="G4" s="461"/>
      <c r="H4" s="461"/>
      <c r="I4" s="461"/>
      <c r="J4" s="461"/>
      <c r="K4" s="461"/>
      <c r="L4" s="461"/>
      <c r="M4" s="462"/>
    </row>
    <row r="5" spans="4:17" ht="35.1" customHeight="1" x14ac:dyDescent="0.3">
      <c r="D5" s="454"/>
      <c r="E5" s="454"/>
      <c r="F5" s="454"/>
      <c r="G5" s="454"/>
      <c r="H5" s="454"/>
      <c r="I5" s="454"/>
      <c r="J5" s="454"/>
      <c r="K5" s="454"/>
      <c r="L5" s="454"/>
      <c r="M5" s="455"/>
    </row>
    <row r="6" spans="4:17" ht="35.1" customHeight="1" x14ac:dyDescent="0.3">
      <c r="D6" s="459"/>
      <c r="E6" s="459"/>
      <c r="F6" s="459"/>
      <c r="G6" s="459"/>
      <c r="H6" s="459"/>
      <c r="I6" s="459"/>
      <c r="J6" s="459"/>
      <c r="K6" s="459"/>
      <c r="L6" s="459"/>
      <c r="M6" s="460"/>
    </row>
    <row r="7" spans="4:17" ht="35.1" customHeight="1" x14ac:dyDescent="0.4">
      <c r="D7" s="337"/>
      <c r="E7" s="338"/>
      <c r="F7" s="339" t="s">
        <v>3</v>
      </c>
      <c r="G7" s="456" t="s">
        <v>0</v>
      </c>
      <c r="H7" s="457"/>
      <c r="I7" s="458"/>
      <c r="J7" s="340"/>
      <c r="K7" s="341"/>
      <c r="L7" s="342"/>
      <c r="M7" s="343"/>
    </row>
    <row r="8" spans="4:17" ht="35.1" customHeight="1" x14ac:dyDescent="0.4">
      <c r="D8" s="343"/>
      <c r="E8" s="343"/>
      <c r="F8" s="344" t="s">
        <v>4</v>
      </c>
      <c r="G8" s="339" t="s">
        <v>1</v>
      </c>
      <c r="H8" s="339" t="s">
        <v>121</v>
      </c>
      <c r="I8" s="345" t="s">
        <v>124</v>
      </c>
      <c r="J8" s="345"/>
      <c r="K8" s="342" t="s">
        <v>137</v>
      </c>
      <c r="L8" s="342" t="s">
        <v>123</v>
      </c>
      <c r="M8" s="346"/>
    </row>
    <row r="9" spans="4:17" ht="35.1" customHeight="1" x14ac:dyDescent="0.4">
      <c r="D9" s="339"/>
      <c r="E9" s="346" t="s">
        <v>8</v>
      </c>
      <c r="F9" s="342"/>
      <c r="G9" s="342" t="s">
        <v>6</v>
      </c>
      <c r="H9" s="342" t="s">
        <v>123</v>
      </c>
      <c r="I9" s="344" t="s">
        <v>125</v>
      </c>
      <c r="J9" s="344" t="s">
        <v>126</v>
      </c>
      <c r="K9" s="342" t="s">
        <v>139</v>
      </c>
      <c r="L9" s="342" t="s">
        <v>129</v>
      </c>
      <c r="M9" s="339" t="s">
        <v>132</v>
      </c>
    </row>
    <row r="10" spans="4:17" ht="35.1" customHeight="1" x14ac:dyDescent="0.4">
      <c r="D10" s="339" t="s">
        <v>66</v>
      </c>
      <c r="E10" s="339" t="s">
        <v>7</v>
      </c>
      <c r="F10" s="339"/>
      <c r="G10" s="339"/>
      <c r="H10" s="339"/>
      <c r="I10" s="345"/>
      <c r="J10" s="347"/>
      <c r="K10" s="348"/>
      <c r="L10" s="339"/>
      <c r="M10" s="339"/>
    </row>
    <row r="11" spans="4:17" s="8" customFormat="1" ht="60" customHeight="1" x14ac:dyDescent="0.4">
      <c r="D11" s="388" t="s">
        <v>16</v>
      </c>
      <c r="E11" s="389"/>
      <c r="F11" s="390"/>
      <c r="G11" s="391"/>
      <c r="H11" s="391"/>
      <c r="I11" s="392"/>
      <c r="J11" s="393"/>
      <c r="K11" s="394"/>
      <c r="L11" s="391"/>
      <c r="M11" s="113"/>
    </row>
    <row r="12" spans="4:17" s="8" customFormat="1" ht="60" customHeight="1" x14ac:dyDescent="0.4">
      <c r="D12" s="395" t="s">
        <v>285</v>
      </c>
      <c r="E12" s="396" t="s">
        <v>286</v>
      </c>
      <c r="F12" s="397">
        <v>15</v>
      </c>
      <c r="G12" s="380">
        <v>3888</v>
      </c>
      <c r="H12" s="376">
        <v>3888</v>
      </c>
      <c r="I12" s="375"/>
      <c r="J12" s="375">
        <f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287.83</v>
      </c>
      <c r="K12" s="376"/>
      <c r="L12" s="376">
        <f t="shared" ref="L12" si="0">H12+I12-J12-K12</f>
        <v>3600.17</v>
      </c>
      <c r="M12" s="349"/>
    </row>
    <row r="13" spans="4:17" ht="60" customHeight="1" x14ac:dyDescent="0.4">
      <c r="D13" s="395" t="s">
        <v>262</v>
      </c>
      <c r="E13" s="396" t="s">
        <v>14</v>
      </c>
      <c r="F13" s="397">
        <v>15</v>
      </c>
      <c r="G13" s="375">
        <v>3052</v>
      </c>
      <c r="H13" s="376">
        <f>G13</f>
        <v>3052</v>
      </c>
      <c r="I13" s="375">
        <f>IFERROR(IF(ROUND((((H13/F13*30.4)-VLOOKUP((H13/F13*30.4),TARIFA,1))*VLOOKUP((H13/F13*30.4),TARIFA,3)+VLOOKUP((H13/F13*30.4),TARIFA,2)-VLOOKUP((H13/F13*30.4),SUBSIDIO,2))/30.4*F13,2)&lt;0,ROUND(-(((H13/F13*30.4)-VLOOKUP((H13/F13*30.4),TARIFA,1))*VLOOKUP((H13/F13*30.4),TARIFA,3)+VLOOKUP((H13/F13*30.4),TARIFA,2)-VLOOKUP((H13/F13*30.4),SUBSIDIO,2))/30.4*F13,2),0),0)</f>
        <v>0</v>
      </c>
      <c r="J13" s="375">
        <f>IFERROR(IF(ROUND((((H13/F13*30.4)-VLOOKUP((H13/F13*30.4),TARIFA,1))*VLOOKUP((H13/F13*30.4),TARIFA,3)+VLOOKUP((H13/F13*30.4),TARIFA,2)-VLOOKUP((H13/F13*30.4),SUBSIDIO,2))/30.4*F13,2)&gt;0,ROUND((((H13/F13*30.4)-VLOOKUP((H13/F13*30.4),TARIFA,1))*VLOOKUP((H13/F13*30.4),TARIFA,3)+VLOOKUP((H13/F13*30.4),TARIFA,2)-VLOOKUP((H13/F13*30.4),SUBSIDIO,2))/30.4*F13,2),0),0)</f>
        <v>51.49</v>
      </c>
      <c r="K13" s="376">
        <v>0</v>
      </c>
      <c r="L13" s="376">
        <f>H13+I13-J13-K13</f>
        <v>3000.51</v>
      </c>
      <c r="M13" s="117"/>
      <c r="P13" s="46"/>
      <c r="Q13" s="48"/>
    </row>
    <row r="14" spans="4:17" ht="60" customHeight="1" x14ac:dyDescent="0.4">
      <c r="D14" s="395" t="s">
        <v>245</v>
      </c>
      <c r="E14" s="396" t="s">
        <v>14</v>
      </c>
      <c r="F14" s="397">
        <v>15</v>
      </c>
      <c r="G14" s="375">
        <v>3052</v>
      </c>
      <c r="H14" s="376">
        <v>3052</v>
      </c>
      <c r="I14" s="375">
        <f>IFERROR(IF(ROUND((((H14/F14*30.4)-VLOOKUP((H14/F14*30.4),TARIFA,1))*VLOOKUP((H14/F14*30.4),TARIFA,3)+VLOOKUP((H14/F14*30.4),TARIFA,2)-VLOOKUP((H14/F14*30.4),SUBSIDIO,2))/30.4*F14,2)&lt;0,ROUND(-(((H14/F14*30.4)-VLOOKUP((H14/F14*30.4),TARIFA,1))*VLOOKUP((H14/F14*30.4),TARIFA,3)+VLOOKUP((H14/F14*30.4),TARIFA,2)-VLOOKUP((H14/F14*30.4),SUBSIDIO,2))/30.4*F14,2),0),0)</f>
        <v>0</v>
      </c>
      <c r="J14" s="375">
        <f>IFERROR(IF(ROUND((((H14/F14*30.4)-VLOOKUP((H14/F14*30.4),TARIFA,1))*VLOOKUP((H14/F14*30.4),TARIFA,3)+VLOOKUP((H14/F14*30.4),TARIFA,2)-VLOOKUP((H14/F14*30.4),SUBSIDIO,2))/30.4*F14,2)&gt;0,ROUND((((H14/F14*30.4)-VLOOKUP((H14/F14*30.4),TARIFA,1))*VLOOKUP((H14/F14*30.4),TARIFA,3)+VLOOKUP((H14/F14*30.4),TARIFA,2)-VLOOKUP((H14/F14*30.4),SUBSIDIO,2))/30.4*F14,2),0),0)</f>
        <v>51.49</v>
      </c>
      <c r="K14" s="376"/>
      <c r="L14" s="376">
        <f>H14+I14-J14-K14</f>
        <v>3000.51</v>
      </c>
      <c r="M14" s="117"/>
      <c r="P14" s="46"/>
      <c r="Q14" s="48"/>
    </row>
    <row r="15" spans="4:17" ht="60" customHeight="1" x14ac:dyDescent="0.4">
      <c r="D15" s="398" t="s">
        <v>154</v>
      </c>
      <c r="E15" s="396"/>
      <c r="F15" s="397"/>
      <c r="G15" s="380"/>
      <c r="H15" s="376"/>
      <c r="I15" s="375"/>
      <c r="J15" s="375"/>
      <c r="K15" s="376"/>
      <c r="L15" s="376"/>
      <c r="M15" s="117"/>
      <c r="P15" s="46"/>
      <c r="Q15" s="48"/>
    </row>
    <row r="16" spans="4:17" ht="60" customHeight="1" x14ac:dyDescent="0.4">
      <c r="D16" s="395" t="s">
        <v>241</v>
      </c>
      <c r="E16" s="396" t="s">
        <v>114</v>
      </c>
      <c r="F16" s="397">
        <v>15</v>
      </c>
      <c r="G16" s="380">
        <v>8000</v>
      </c>
      <c r="H16" s="376">
        <v>8000</v>
      </c>
      <c r="I16" s="375">
        <f>IFERROR(IF(ROUND((((H16/F16*30.4)-VLOOKUP((H16/F16*30.4),TARIFA,1))*VLOOKUP((H16/F16*30.4),TARIFA,3)+VLOOKUP((H16/F16*30.4),TARIFA,2)-VLOOKUP((H16/F16*30.4),SUBSIDIO,2))/30.4*F16,2)&lt;0,ROUND(-(((H16/F16*30.4)-VLOOKUP((H16/F16*30.4),TARIFA,1))*VLOOKUP((H16/F16*30.4),TARIFA,3)+VLOOKUP((H16/F16*30.4),TARIFA,2)-VLOOKUP((H16/F16*30.4),SUBSIDIO,2))/30.4*F16,2),0),0)</f>
        <v>0</v>
      </c>
      <c r="J16" s="375">
        <f>IFERROR(IF(ROUND((((H16/F16*30.4)-VLOOKUP((H16/F16*30.4),TARIFA,1))*VLOOKUP((H16/F16*30.4),TARIFA,3)+VLOOKUP((H16/F16*30.4),TARIFA,2)-VLOOKUP((H16/F16*30.4),SUBSIDIO,2))/30.4*F16,2)&gt;0,ROUND((((H16/F16*30.4)-VLOOKUP((H16/F16*30.4),TARIFA,1))*VLOOKUP((H16/F16*30.4),TARIFA,3)+VLOOKUP((H16/F16*30.4),TARIFA,2)-VLOOKUP((H16/F16*30.4),SUBSIDIO,2))/30.4*F16,2),0),0)</f>
        <v>997.7</v>
      </c>
      <c r="K16" s="376">
        <v>0</v>
      </c>
      <c r="L16" s="376">
        <f>H16+I16-J16-K16</f>
        <v>7002.3</v>
      </c>
      <c r="M16" s="117"/>
      <c r="P16" s="46"/>
      <c r="Q16" s="48"/>
    </row>
    <row r="17" spans="4:17" ht="60" hidden="1" customHeight="1" x14ac:dyDescent="0.4">
      <c r="D17" s="398"/>
      <c r="E17" s="396"/>
      <c r="F17" s="397"/>
      <c r="G17" s="380">
        <v>0</v>
      </c>
      <c r="H17" s="376">
        <v>0</v>
      </c>
      <c r="I17" s="375"/>
      <c r="J17" s="375">
        <f>IFERROR(IF(ROUND((((H17/F17*30.4)-VLOOKUP((H17/F17*30.4),TARIFA,1))*VLOOKUP((H17/F17*30.4),TARIFA,3)+VLOOKUP((H17/F17*30.4),TARIFA,2)-VLOOKUP((H17/F17*30.4),SUBSIDIO,2))/30.4*F17,2)&gt;0,ROUND((((H17/F17*30.4)-VLOOKUP((H17/F17*30.4),TARIFA,1))*VLOOKUP((H17/F17*30.4),TARIFA,3)+VLOOKUP((H17/F17*30.4),TARIFA,2)-VLOOKUP((H17/F17*30.4),SUBSIDIO,2))/30.4*F17,2),0),0)</f>
        <v>0</v>
      </c>
      <c r="K17" s="376"/>
      <c r="L17" s="376">
        <f t="shared" ref="L17:L18" si="1">H17+I17-J17-K17</f>
        <v>0</v>
      </c>
      <c r="M17" s="117"/>
      <c r="P17" s="46"/>
      <c r="Q17" s="48"/>
    </row>
    <row r="18" spans="4:17" ht="60" customHeight="1" x14ac:dyDescent="0.4">
      <c r="D18" s="395" t="s">
        <v>364</v>
      </c>
      <c r="E18" s="396" t="s">
        <v>12</v>
      </c>
      <c r="F18" s="397">
        <v>15</v>
      </c>
      <c r="G18" s="380">
        <v>3299</v>
      </c>
      <c r="H18" s="376">
        <v>3299</v>
      </c>
      <c r="I18" s="375"/>
      <c r="J18" s="375">
        <f>IFERROR(IF(ROUND((((H18/F18*30.4)-VLOOKUP((H18/F18*30.4),TARIFA,1))*VLOOKUP((H18/F18*30.4),TARIFA,3)+VLOOKUP((H18/F18*30.4),TARIFA,2)-VLOOKUP((H18/F18*30.4),SUBSIDIO,2))/30.4*F18,2)&gt;0,ROUND((((H18/F18*30.4)-VLOOKUP((H18/F18*30.4),TARIFA,1))*VLOOKUP((H18/F18*30.4),TARIFA,3)+VLOOKUP((H18/F18*30.4),TARIFA,2)-VLOOKUP((H18/F18*30.4),SUBSIDIO,2))/30.4*F18,2),0),0)</f>
        <v>98.64</v>
      </c>
      <c r="K18" s="376"/>
      <c r="L18" s="376">
        <f t="shared" si="1"/>
        <v>3200.36</v>
      </c>
      <c r="M18" s="117"/>
      <c r="P18" s="46"/>
      <c r="Q18" s="48"/>
    </row>
    <row r="19" spans="4:17" ht="60" customHeight="1" x14ac:dyDescent="0.4">
      <c r="D19" s="398" t="s">
        <v>150</v>
      </c>
      <c r="E19" s="396"/>
      <c r="F19" s="397"/>
      <c r="G19" s="380"/>
      <c r="H19" s="376"/>
      <c r="I19" s="375"/>
      <c r="J19" s="375"/>
      <c r="K19" s="376"/>
      <c r="L19" s="376"/>
      <c r="M19" s="117"/>
      <c r="P19" s="46"/>
      <c r="Q19" s="48"/>
    </row>
    <row r="20" spans="4:17" ht="60" customHeight="1" x14ac:dyDescent="0.4">
      <c r="D20" s="395" t="s">
        <v>243</v>
      </c>
      <c r="E20" s="379" t="s">
        <v>220</v>
      </c>
      <c r="F20" s="399">
        <v>15</v>
      </c>
      <c r="G20" s="374">
        <v>3888</v>
      </c>
      <c r="H20" s="374">
        <v>3888</v>
      </c>
      <c r="I20" s="375">
        <f>IFERROR(IF(ROUND((((H20/F20*30.4)-VLOOKUP((H20/F20*30.4),TARIFA,1))*VLOOKUP((H20/F20*30.4),TARIFA,3)+VLOOKUP((H20/F20*30.4),TARIFA,2)-VLOOKUP((H20/F20*30.4),SUBSIDIO,2))/30.4*F20,2)&lt;0,ROUND(-(((H20/F20*30.4)-VLOOKUP((H20/F20*30.4),TARIFA,1))*VLOOKUP((H20/F20*30.4),TARIFA,3)+VLOOKUP((H20/F20*30.4),TARIFA,2)-VLOOKUP((H20/F20*30.4),SUBSIDIO,2))/30.4*F20,2),0),0)</f>
        <v>0</v>
      </c>
      <c r="J20" s="376">
        <f>IFERROR(IF(ROUND((((H20/F20*30.4)-VLOOKUP((H20/F20*30.4),TARIFA,1))*VLOOKUP((H20/F20*30.4),TARIFA,3)+VLOOKUP((H20/F20*30.4),TARIFA,2)-VLOOKUP((H20/F20*30.4),SUBSIDIO,2))/30.4*F20,2)&gt;0,ROUND((((H20/F20*30.4)-VLOOKUP((H20/F20*30.4),TARIFA,1))*VLOOKUP((H20/F20*30.4),TARIFA,3)+VLOOKUP((H20/F20*30.4),TARIFA,2)-VLOOKUP((H20/F20*30.4),SUBSIDIO,2))/30.4*F20,2),0),0)</f>
        <v>287.83</v>
      </c>
      <c r="K20" s="376">
        <v>0</v>
      </c>
      <c r="L20" s="376">
        <f t="shared" ref="L20" si="2">H20+I20-J20</f>
        <v>3600.17</v>
      </c>
      <c r="M20" s="117"/>
      <c r="P20" s="46"/>
      <c r="Q20" s="48"/>
    </row>
    <row r="21" spans="4:17" ht="60" customHeight="1" x14ac:dyDescent="0.4">
      <c r="D21" s="395" t="s">
        <v>372</v>
      </c>
      <c r="E21" s="379" t="s">
        <v>220</v>
      </c>
      <c r="F21" s="397">
        <v>15</v>
      </c>
      <c r="G21" s="375">
        <v>3052</v>
      </c>
      <c r="H21" s="376">
        <v>3052</v>
      </c>
      <c r="I21" s="375">
        <f>IFERROR(IF(ROUND((((H21/F21*30.4)-VLOOKUP((H21/F21*30.4),TARIFA,1))*VLOOKUP((H21/F21*30.4),TARIFA,3)+VLOOKUP((H21/F21*30.4),TARIFA,2)-VLOOKUP((H21/F21*30.4),SUBSIDIO,2))/30.4*F21,2)&lt;0,ROUND(-(((H21/F21*30.4)-VLOOKUP((H21/F21*30.4),TARIFA,1))*VLOOKUP((H21/F21*30.4),TARIFA,3)+VLOOKUP((H21/F21*30.4),TARIFA,2)-VLOOKUP((H21/F21*30.4),SUBSIDIO,2))/30.4*F21,2),0),0)</f>
        <v>0</v>
      </c>
      <c r="J21" s="375">
        <f>IFERROR(IF(ROUND((((H21/F21*30.4)-VLOOKUP((H21/F21*30.4),TARIFA,1))*VLOOKUP((H21/F21*30.4),TARIFA,3)+VLOOKUP((H21/F21*30.4),TARIFA,2)-VLOOKUP((H21/F21*30.4),SUBSIDIO,2))/30.4*F21,2)&gt;0,ROUND((((H21/F21*30.4)-VLOOKUP((H21/F21*30.4),TARIFA,1))*VLOOKUP((H21/F21*30.4),TARIFA,3)+VLOOKUP((H21/F21*30.4),TARIFA,2)-VLOOKUP((H21/F21*30.4),SUBSIDIO,2))/30.4*F21,2),0),0)</f>
        <v>51.49</v>
      </c>
      <c r="K21" s="376"/>
      <c r="L21" s="376">
        <f>H21+I21-J21-K21</f>
        <v>3000.51</v>
      </c>
      <c r="M21" s="117"/>
      <c r="P21" s="46"/>
      <c r="Q21" s="48"/>
    </row>
    <row r="22" spans="4:17" ht="60" customHeight="1" x14ac:dyDescent="0.4">
      <c r="D22" s="371" t="s">
        <v>331</v>
      </c>
      <c r="E22" s="371" t="s">
        <v>32</v>
      </c>
      <c r="F22" s="373">
        <v>15</v>
      </c>
      <c r="G22" s="380">
        <v>4225</v>
      </c>
      <c r="H22" s="376">
        <v>4225</v>
      </c>
      <c r="I22" s="375">
        <f t="shared" ref="I22:I24" si="3">IFERROR(IF(ROUND((((H22/F22*30.4)-VLOOKUP((H22/F22*30.4),TARIFA,1))*VLOOKUP((H22/F22*30.4),TARIFA,3)+VLOOKUP((H22/F22*30.4),TARIFA,2)-VLOOKUP((H22/F22*30.4),SUBSIDIO,2))/30.4*F22,2)&lt;0,ROUND(-(((H22/F22*30.4)-VLOOKUP((H22/F22*30.4),TARIFA,1))*VLOOKUP((H22/F22*30.4),TARIFA,3)+VLOOKUP((H22/F22*30.4),TARIFA,2)-VLOOKUP((H22/F22*30.4),SUBSIDIO,2))/30.4*F22,2),0),0)</f>
        <v>0</v>
      </c>
      <c r="J22" s="375">
        <f t="shared" ref="J22:J24" si="4">IFERROR(IF(ROUND((((H22/F22*30.4)-VLOOKUP((H22/F22*30.4),TARIFA,1))*VLOOKUP((H22/F22*30.4),TARIFA,3)+VLOOKUP((H22/F22*30.4),TARIFA,2)-VLOOKUP((H22/F22*30.4),SUBSIDIO,2))/30.4*F22,2)&gt;0,ROUND((((H22/F22*30.4)-VLOOKUP((H22/F22*30.4),TARIFA,1))*VLOOKUP((H22/F22*30.4),TARIFA,3)+VLOOKUP((H22/F22*30.4),TARIFA,2)-VLOOKUP((H22/F22*30.4),SUBSIDIO,2))/30.4*F22,2),0),0)</f>
        <v>324.49</v>
      </c>
      <c r="K22" s="376"/>
      <c r="L22" s="376">
        <f t="shared" ref="L22:L24" si="5">H22+I22-J22-K22</f>
        <v>3900.51</v>
      </c>
      <c r="M22" s="117"/>
      <c r="P22" s="46"/>
      <c r="Q22" s="48"/>
    </row>
    <row r="23" spans="4:17" ht="60" customHeight="1" x14ac:dyDescent="0.4">
      <c r="D23" s="371" t="s">
        <v>330</v>
      </c>
      <c r="E23" s="371" t="s">
        <v>32</v>
      </c>
      <c r="F23" s="373">
        <v>15</v>
      </c>
      <c r="G23" s="380">
        <v>3052</v>
      </c>
      <c r="H23" s="376">
        <v>3052</v>
      </c>
      <c r="I23" s="375">
        <f t="shared" si="3"/>
        <v>0</v>
      </c>
      <c r="J23" s="375">
        <f t="shared" si="4"/>
        <v>51.49</v>
      </c>
      <c r="K23" s="376">
        <v>0</v>
      </c>
      <c r="L23" s="380">
        <f t="shared" si="5"/>
        <v>3000.51</v>
      </c>
      <c r="M23" s="117"/>
      <c r="P23" s="46"/>
      <c r="Q23" s="48"/>
    </row>
    <row r="24" spans="4:17" ht="60" customHeight="1" x14ac:dyDescent="0.4">
      <c r="D24" s="395" t="s">
        <v>244</v>
      </c>
      <c r="E24" s="396" t="s">
        <v>32</v>
      </c>
      <c r="F24" s="397">
        <v>15</v>
      </c>
      <c r="G24" s="380">
        <v>3052</v>
      </c>
      <c r="H24" s="376">
        <v>3052</v>
      </c>
      <c r="I24" s="375">
        <f t="shared" si="3"/>
        <v>0</v>
      </c>
      <c r="J24" s="375">
        <f t="shared" si="4"/>
        <v>51.49</v>
      </c>
      <c r="K24" s="376"/>
      <c r="L24" s="380">
        <f t="shared" si="5"/>
        <v>3000.51</v>
      </c>
      <c r="M24" s="117"/>
      <c r="P24" s="46"/>
      <c r="Q24" s="48"/>
    </row>
    <row r="25" spans="4:17" ht="60" customHeight="1" x14ac:dyDescent="0.4">
      <c r="D25" s="398" t="s">
        <v>109</v>
      </c>
      <c r="E25" s="396" t="s">
        <v>153</v>
      </c>
      <c r="F25" s="397"/>
      <c r="G25" s="380"/>
      <c r="H25" s="376"/>
      <c r="I25" s="375"/>
      <c r="J25" s="375"/>
      <c r="K25" s="376"/>
      <c r="L25" s="376"/>
      <c r="M25" s="117"/>
      <c r="P25" s="46"/>
      <c r="Q25" s="48"/>
    </row>
    <row r="26" spans="4:17" ht="60" hidden="1" customHeight="1" x14ac:dyDescent="0.4">
      <c r="D26" s="395"/>
      <c r="E26" s="396"/>
      <c r="F26" s="397"/>
      <c r="G26" s="380"/>
      <c r="H26" s="380"/>
      <c r="I26" s="375"/>
      <c r="J26" s="375"/>
      <c r="K26" s="380"/>
      <c r="L26" s="380"/>
      <c r="M26" s="117"/>
      <c r="P26" s="46"/>
      <c r="Q26" s="48"/>
    </row>
    <row r="27" spans="4:17" ht="60" customHeight="1" x14ac:dyDescent="0.4">
      <c r="D27" s="395" t="s">
        <v>246</v>
      </c>
      <c r="E27" s="400" t="s">
        <v>247</v>
      </c>
      <c r="F27" s="397">
        <v>15</v>
      </c>
      <c r="G27" s="380">
        <v>6112</v>
      </c>
      <c r="H27" s="380">
        <v>6112</v>
      </c>
      <c r="I27" s="375">
        <f>IFERROR(IF(ROUND((((H27/F27*30.4)-VLOOKUP((H27/F27*30.4),TARIFA,1))*VLOOKUP((H27/F27*30.4),TARIFA,3)+VLOOKUP((H27/F27*30.4),TARIFA,2)-VLOOKUP((H27/F27*30.4),SUBSIDIO,2))/30.4*F27,2)&lt;0,ROUND(-(((H27/F27*30.4)-VLOOKUP((H27/F27*30.4),TARIFA,1))*VLOOKUP((H27/F27*30.4),TARIFA,3)+VLOOKUP((H27/F27*30.4),TARIFA,2)-VLOOKUP((H27/F27*30.4),SUBSIDIO,2))/30.4*F27,2),0),0)</f>
        <v>0</v>
      </c>
      <c r="J27" s="375">
        <f>IFERROR(IF(ROUND((((H27/F27*30.4)-VLOOKUP((H27/F27*30.4),TARIFA,1))*VLOOKUP((H27/F27*30.4),TARIFA,3)+VLOOKUP((H27/F27*30.4),TARIFA,2)-VLOOKUP((H27/F27*30.4),SUBSIDIO,2))/30.4*F27,2)&gt;0,ROUND((((H27/F27*30.4)-VLOOKUP((H27/F27*30.4),TARIFA,1))*VLOOKUP((H27/F27*30.4),TARIFA,3)+VLOOKUP((H27/F27*30.4),TARIFA,2)-VLOOKUP((H27/F27*30.4),SUBSIDIO,2))/30.4*F27,2),0),0)</f>
        <v>611.29999999999995</v>
      </c>
      <c r="K27" s="380"/>
      <c r="L27" s="380">
        <f>H27+I27-J27-K27</f>
        <v>5500.7</v>
      </c>
      <c r="M27" s="117"/>
      <c r="P27" s="46"/>
      <c r="Q27" s="48"/>
    </row>
    <row r="28" spans="4:17" ht="60" customHeight="1" x14ac:dyDescent="0.4">
      <c r="D28" s="398" t="s">
        <v>327</v>
      </c>
      <c r="E28" s="400"/>
      <c r="F28" s="397"/>
      <c r="G28" s="380"/>
      <c r="H28" s="376"/>
      <c r="I28" s="375"/>
      <c r="J28" s="375"/>
      <c r="K28" s="376"/>
      <c r="L28" s="376"/>
      <c r="M28" s="117"/>
      <c r="P28" s="46"/>
      <c r="Q28" s="48"/>
    </row>
    <row r="29" spans="4:17" ht="60" customHeight="1" x14ac:dyDescent="0.4">
      <c r="D29" s="395" t="s">
        <v>249</v>
      </c>
      <c r="E29" s="400" t="s">
        <v>12</v>
      </c>
      <c r="F29" s="397">
        <v>15</v>
      </c>
      <c r="G29" s="380">
        <v>3299</v>
      </c>
      <c r="H29" s="376">
        <v>3299</v>
      </c>
      <c r="I29" s="375"/>
      <c r="J29" s="375">
        <f>IFERROR(IF(ROUND((((H29/F29*30.4)-VLOOKUP((H29/F29*30.4),TARIFA,1))*VLOOKUP((H29/F29*30.4),TARIFA,3)+VLOOKUP((H29/F29*30.4),TARIFA,2)-VLOOKUP((H29/F29*30.4),SUBSIDIO,2))/30.4*F29,2)&gt;0,ROUND((((H29/F29*30.4)-VLOOKUP((H29/F29*30.4),TARIFA,1))*VLOOKUP((H29/F29*30.4),TARIFA,3)+VLOOKUP((H29/F29*30.4),TARIFA,2)-VLOOKUP((H29/F29*30.4),SUBSIDIO,2))/30.4*F29,2),0),0)</f>
        <v>98.64</v>
      </c>
      <c r="K29" s="376"/>
      <c r="L29" s="376">
        <f t="shared" ref="L29" si="6">H29+I29-J29-K29</f>
        <v>3200.36</v>
      </c>
      <c r="M29" s="117"/>
      <c r="P29" s="46"/>
      <c r="Q29" s="48"/>
    </row>
    <row r="30" spans="4:17" ht="60" customHeight="1" x14ac:dyDescent="0.4">
      <c r="D30" s="398" t="s">
        <v>98</v>
      </c>
      <c r="E30" s="396"/>
      <c r="F30" s="397"/>
      <c r="G30" s="380"/>
      <c r="H30" s="376"/>
      <c r="I30" s="375"/>
      <c r="J30" s="375"/>
      <c r="K30" s="376"/>
      <c r="L30" s="376"/>
      <c r="M30" s="117"/>
      <c r="P30" s="46"/>
      <c r="Q30" s="48"/>
    </row>
    <row r="31" spans="4:17" ht="60" hidden="1" customHeight="1" x14ac:dyDescent="0.4">
      <c r="D31" s="395"/>
      <c r="E31" s="396"/>
      <c r="F31" s="397"/>
      <c r="G31" s="380"/>
      <c r="H31" s="376"/>
      <c r="I31" s="375"/>
      <c r="J31" s="375"/>
      <c r="K31" s="376"/>
      <c r="L31" s="376"/>
      <c r="M31" s="117"/>
      <c r="P31" s="46"/>
      <c r="Q31" s="48"/>
    </row>
    <row r="32" spans="4:17" ht="60" hidden="1" customHeight="1" x14ac:dyDescent="0.4">
      <c r="D32" s="395"/>
      <c r="E32" s="396"/>
      <c r="F32" s="397"/>
      <c r="G32" s="380">
        <v>0</v>
      </c>
      <c r="H32" s="376">
        <v>0</v>
      </c>
      <c r="I32" s="375"/>
      <c r="J32" s="375">
        <v>0</v>
      </c>
      <c r="K32" s="376"/>
      <c r="L32" s="376">
        <f>H32-J32</f>
        <v>0</v>
      </c>
      <c r="M32" s="117"/>
      <c r="P32" s="46"/>
      <c r="Q32" s="48"/>
    </row>
    <row r="33" spans="2:17" ht="60" customHeight="1" x14ac:dyDescent="0.4">
      <c r="D33" s="395" t="s">
        <v>251</v>
      </c>
      <c r="E33" s="396" t="s">
        <v>155</v>
      </c>
      <c r="F33" s="397">
        <v>15</v>
      </c>
      <c r="G33" s="376">
        <v>3665</v>
      </c>
      <c r="H33" s="376">
        <v>3665</v>
      </c>
      <c r="I33" s="375">
        <f>IFERROR(IF(ROUND((((H33/F33*30.4)-VLOOKUP((H33/F33*30.4),TARIFA,1))*VLOOKUP((H33/F33*30.4),TARIFA,3)+VLOOKUP((H33/F33*30.4),TARIFA,2)-VLOOKUP((H33/F33*30.4),SUBSIDIO,2))/30.4*F33,2)&lt;0,ROUND(-(((H33/F33*30.4)-VLOOKUP((H33/F33*30.4),TARIFA,1))*VLOOKUP((H33/F33*30.4),TARIFA,3)+VLOOKUP((H33/F33*30.4),TARIFA,2)-VLOOKUP((H33/F33*30.4),SUBSIDIO,2))/30.4*F33,2),0),0)</f>
        <v>0</v>
      </c>
      <c r="J33" s="375">
        <f>IFERROR(IF(ROUND((((H33/F33*30.4)-VLOOKUP((H33/F33*30.4),TARIFA,1))*VLOOKUP((H33/F33*30.4),TARIFA,3)+VLOOKUP((H33/F33*30.4),TARIFA,2)-VLOOKUP((H33/F33*30.4),SUBSIDIO,2))/30.4*F33,2)&gt;0,ROUND((((H33/F33*30.4)-VLOOKUP((H33/F33*30.4),TARIFA,1))*VLOOKUP((H33/F33*30.4),TARIFA,3)+VLOOKUP((H33/F33*30.4),TARIFA,2)-VLOOKUP((H33/F33*30.4),SUBSIDIO,2))/30.4*F33,2),0),0)</f>
        <v>263.57</v>
      </c>
      <c r="K33" s="376"/>
      <c r="L33" s="380">
        <f>H33+I33-J33-K33</f>
        <v>3401.43</v>
      </c>
      <c r="M33" s="117"/>
      <c r="P33" s="46"/>
      <c r="Q33" s="48"/>
    </row>
    <row r="34" spans="2:17" ht="60" customHeight="1" x14ac:dyDescent="0.4">
      <c r="D34" s="395" t="s">
        <v>373</v>
      </c>
      <c r="E34" s="396" t="s">
        <v>12</v>
      </c>
      <c r="F34" s="397">
        <v>15</v>
      </c>
      <c r="G34" s="380">
        <v>3888</v>
      </c>
      <c r="H34" s="376">
        <v>3888</v>
      </c>
      <c r="I34" s="375"/>
      <c r="J34" s="375">
        <f>IFERROR(IF(ROUND((((H34/F34*30.4)-VLOOKUP((H34/F34*30.4),TARIFA,1))*VLOOKUP((H34/F34*30.4),TARIFA,3)+VLOOKUP((H34/F34*30.4),TARIFA,2)-VLOOKUP((H34/F34*30.4),SUBSIDIO,2))/30.4*F34,2)&gt;0,ROUND((((H34/F34*30.4)-VLOOKUP((H34/F34*30.4),TARIFA,1))*VLOOKUP((H34/F34*30.4),TARIFA,3)+VLOOKUP((H34/F34*30.4),TARIFA,2)-VLOOKUP((H34/F34*30.4),SUBSIDIO,2))/30.4*F34,2),0),0)</f>
        <v>287.83</v>
      </c>
      <c r="K34" s="376"/>
      <c r="L34" s="376">
        <f t="shared" ref="L34" si="7">H34+I34-J34-K34</f>
        <v>3600.17</v>
      </c>
      <c r="M34" s="117"/>
      <c r="P34" s="46"/>
      <c r="Q34" s="48"/>
    </row>
    <row r="35" spans="2:17" ht="60" customHeight="1" x14ac:dyDescent="0.4">
      <c r="D35" s="383" t="s">
        <v>74</v>
      </c>
      <c r="E35" s="396"/>
      <c r="F35" s="397"/>
      <c r="G35" s="374"/>
      <c r="H35" s="374"/>
      <c r="I35" s="375"/>
      <c r="J35" s="376"/>
      <c r="K35" s="376"/>
      <c r="L35" s="376"/>
      <c r="M35" s="117"/>
      <c r="P35" s="46"/>
      <c r="Q35" s="48"/>
    </row>
    <row r="36" spans="2:17" ht="60" customHeight="1" x14ac:dyDescent="0.4">
      <c r="D36" s="395" t="s">
        <v>276</v>
      </c>
      <c r="E36" s="396" t="s">
        <v>220</v>
      </c>
      <c r="F36" s="397">
        <v>15</v>
      </c>
      <c r="G36" s="374">
        <v>4562</v>
      </c>
      <c r="H36" s="374">
        <v>4562</v>
      </c>
      <c r="I36" s="375">
        <f>IFERROR(IF(ROUND((((H36/F36*30.4)-VLOOKUP((H36/F36*30.4),TARIFA,1))*VLOOKUP((H36/F36*30.4),TARIFA,3)+VLOOKUP((H36/F36*30.4),TARIFA,2)-VLOOKUP((H36/F36*30.4),SUBSIDIO,2))/30.4*F36,2)&lt;0,ROUND(-(((H36/F36*30.4)-VLOOKUP((H36/F36*30.4),TARIFA,1))*VLOOKUP((H36/F36*30.4),TARIFA,3)+VLOOKUP((H36/F36*30.4),TARIFA,2)-VLOOKUP((H36/F36*30.4),SUBSIDIO,2))/30.4*F36,2),0),0)</f>
        <v>0</v>
      </c>
      <c r="J36" s="376">
        <f>IFERROR(IF(ROUND((((H36/F36*30.4)-VLOOKUP((H36/F36*30.4),TARIFA,1))*VLOOKUP((H36/F36*30.4),TARIFA,3)+VLOOKUP((H36/F36*30.4),TARIFA,2)-VLOOKUP((H36/F36*30.4),SUBSIDIO,2))/30.4*F36,2)&gt;0,ROUND((((H36/F36*30.4)-VLOOKUP((H36/F36*30.4),TARIFA,1))*VLOOKUP((H36/F36*30.4),TARIFA,3)+VLOOKUP((H36/F36*30.4),TARIFA,2)-VLOOKUP((H36/F36*30.4),SUBSIDIO,2))/30.4*F36,2),0),0)</f>
        <v>361.16</v>
      </c>
      <c r="K36" s="376"/>
      <c r="L36" s="376">
        <f t="shared" ref="L36" si="8">H36+I36-J36</f>
        <v>4200.84</v>
      </c>
      <c r="M36" s="117"/>
      <c r="P36" s="46"/>
      <c r="Q36" s="48"/>
    </row>
    <row r="37" spans="2:17" ht="60" customHeight="1" x14ac:dyDescent="0.4">
      <c r="D37" s="398" t="s">
        <v>79</v>
      </c>
      <c r="E37" s="396"/>
      <c r="F37" s="397"/>
      <c r="G37" s="380"/>
      <c r="H37" s="376"/>
      <c r="I37" s="375"/>
      <c r="J37" s="375"/>
      <c r="K37" s="376"/>
      <c r="L37" s="376"/>
      <c r="M37" s="117"/>
      <c r="P37" s="46"/>
      <c r="Q37" s="48"/>
    </row>
    <row r="38" spans="2:17" ht="60" customHeight="1" x14ac:dyDescent="0.4">
      <c r="D38" s="395" t="s">
        <v>268</v>
      </c>
      <c r="E38" s="396" t="s">
        <v>269</v>
      </c>
      <c r="F38" s="397">
        <v>15</v>
      </c>
      <c r="G38" s="380">
        <v>4790</v>
      </c>
      <c r="H38" s="376">
        <v>4790</v>
      </c>
      <c r="I38" s="375">
        <f>IFERROR(IF(ROUND((((H38/F38*30.4)-VLOOKUP((H38/F38*30.4),TARIFA,1))*VLOOKUP((H38/F38*30.4),TARIFA,3)+VLOOKUP((H38/F38*30.4),TARIFA,2)-VLOOKUP((H38/F38*30.4),SUBSIDIO,2))/30.4*F38,2)&lt;0,ROUND(-(((H38/F38*30.4)-VLOOKUP((H38/F38*30.4),TARIFA,1))*VLOOKUP((H38/F38*30.4),TARIFA,3)+VLOOKUP((H38/F38*30.4),TARIFA,2)-VLOOKUP((H38/F38*30.4),SUBSIDIO,2))/30.4*F38,2),0),0)</f>
        <v>0</v>
      </c>
      <c r="J38" s="375">
        <f>IFERROR(IF(ROUND((((H38/F38*30.4)-VLOOKUP((H38/F38*30.4),TARIFA,1))*VLOOKUP((H38/F38*30.4),TARIFA,3)+VLOOKUP((H38/F38*30.4),TARIFA,2)-VLOOKUP((H38/F38*30.4),SUBSIDIO,2))/30.4*F38,2)&gt;0,ROUND((((H38/F38*30.4)-VLOOKUP((H38/F38*30.4),TARIFA,1))*VLOOKUP((H38/F38*30.4),TARIFA,3)+VLOOKUP((H38/F38*30.4),TARIFA,2)-VLOOKUP((H38/F38*30.4),SUBSIDIO,2))/30.4*F38,2),0),0)</f>
        <v>388.32</v>
      </c>
      <c r="K38" s="376"/>
      <c r="L38" s="380">
        <f>H38+I38-J38-K38</f>
        <v>4401.68</v>
      </c>
      <c r="M38" s="117"/>
      <c r="P38" s="46"/>
      <c r="Q38" s="48"/>
    </row>
    <row r="39" spans="2:17" ht="60" customHeight="1" x14ac:dyDescent="0.4">
      <c r="D39" s="395" t="s">
        <v>141</v>
      </c>
      <c r="E39" s="396" t="s">
        <v>149</v>
      </c>
      <c r="F39" s="397">
        <v>15</v>
      </c>
      <c r="G39" s="380">
        <v>3557</v>
      </c>
      <c r="H39" s="376">
        <v>3557</v>
      </c>
      <c r="I39" s="375">
        <f>IFERROR(IF(ROUND((((H39/F39*30.4)-VLOOKUP((H39/F39*30.4),TARIFA,1))*VLOOKUP((H39/F39*30.4),TARIFA,3)+VLOOKUP((H39/F39*30.4),TARIFA,2)-VLOOKUP((H39/F39*30.4),SUBSIDIO,2))/30.4*F39,2)&lt;0,ROUND(-(((H39/F39*30.4)-VLOOKUP((H39/F39*30.4),TARIFA,1))*VLOOKUP((H39/F39*30.4),TARIFA,3)+VLOOKUP((H39/F39*30.4),TARIFA,2)-VLOOKUP((H39/F39*30.4),SUBSIDIO,2))/30.4*F39,2),0),0)</f>
        <v>0</v>
      </c>
      <c r="J39" s="375">
        <f>IFERROR(IF(ROUND((((H39/F39*30.4)-VLOOKUP((H39/F39*30.4),TARIFA,1))*VLOOKUP((H39/F39*30.4),TARIFA,3)+VLOOKUP((H39/F39*30.4),TARIFA,2)-VLOOKUP((H39/F39*30.4),SUBSIDIO,2))/30.4*F39,2)&gt;0,ROUND((((H39/F39*30.4)-VLOOKUP((H39/F39*30.4),TARIFA,1))*VLOOKUP((H39/F39*30.4),TARIFA,3)+VLOOKUP((H39/F39*30.4),TARIFA,2)-VLOOKUP((H39/F39*30.4),SUBSIDIO,2))/30.4*F39,2),0),0)</f>
        <v>144.44</v>
      </c>
      <c r="K39" s="376">
        <v>0</v>
      </c>
      <c r="L39" s="376">
        <f>H39+I39-J39-K39</f>
        <v>3412.56</v>
      </c>
      <c r="M39" s="117"/>
      <c r="P39" s="46"/>
      <c r="Q39" s="48"/>
    </row>
    <row r="40" spans="2:17" ht="45" hidden="1" customHeight="1" x14ac:dyDescent="0.35">
      <c r="D40" s="125"/>
      <c r="E40" s="114"/>
      <c r="F40" s="115"/>
      <c r="G40" s="118"/>
      <c r="H40" s="118"/>
      <c r="I40" s="118"/>
      <c r="J40" s="118"/>
      <c r="K40" s="118"/>
      <c r="L40" s="118"/>
      <c r="M40" s="18"/>
      <c r="P40" s="46"/>
      <c r="Q40" s="48"/>
    </row>
    <row r="41" spans="2:17" ht="45" customHeight="1" x14ac:dyDescent="0.4">
      <c r="D41" s="119"/>
      <c r="E41" s="114"/>
      <c r="F41" s="115"/>
      <c r="G41" s="118"/>
      <c r="H41" s="117"/>
      <c r="I41" s="116"/>
      <c r="J41" s="116"/>
      <c r="K41" s="117"/>
      <c r="L41" s="117"/>
      <c r="M41" s="18"/>
      <c r="P41" s="46"/>
      <c r="Q41" s="48"/>
    </row>
    <row r="42" spans="2:17" ht="38.1" customHeight="1" x14ac:dyDescent="0.25">
      <c r="D42" s="56"/>
      <c r="E42" s="61"/>
      <c r="F42" s="62"/>
      <c r="G42" s="63">
        <f>SUM(G12:G39)</f>
        <v>68433</v>
      </c>
      <c r="H42" s="63">
        <f t="shared" ref="H42:L42" si="9">SUM(H12:H39)</f>
        <v>68433</v>
      </c>
      <c r="I42" s="63">
        <f t="shared" si="9"/>
        <v>0</v>
      </c>
      <c r="J42" s="63">
        <f t="shared" si="9"/>
        <v>4409.1999999999989</v>
      </c>
      <c r="K42" s="63">
        <f t="shared" si="9"/>
        <v>0</v>
      </c>
      <c r="L42" s="63">
        <f t="shared" si="9"/>
        <v>64023.80000000001</v>
      </c>
      <c r="M42" s="64">
        <f>L39+L38+L36+L33+L29+L27+L24+L23+L22+L20+L18+L16+L14+L13+L12</f>
        <v>57423.12000000001</v>
      </c>
      <c r="P42" s="46"/>
      <c r="Q42" s="48"/>
    </row>
    <row r="43" spans="2:17" ht="32.1" customHeight="1" x14ac:dyDescent="0.35">
      <c r="B43" s="57"/>
      <c r="C43" s="57"/>
      <c r="D43" s="450"/>
      <c r="E43" s="450"/>
      <c r="F43" s="450"/>
      <c r="G43" s="450"/>
      <c r="H43" s="450"/>
      <c r="I43" s="450"/>
      <c r="J43" s="450"/>
      <c r="K43" s="450"/>
      <c r="L43" s="450"/>
      <c r="M43" s="450"/>
      <c r="P43" s="46"/>
      <c r="Q43" s="48"/>
    </row>
    <row r="44" spans="2:17" ht="32.1" customHeight="1" x14ac:dyDescent="0.35">
      <c r="B44" s="57"/>
      <c r="C44" s="57"/>
      <c r="D44" s="450"/>
      <c r="E44" s="450"/>
      <c r="F44" s="450"/>
      <c r="G44" s="450"/>
      <c r="H44" s="450"/>
      <c r="I44" s="450"/>
      <c r="J44" s="450"/>
      <c r="K44" s="450"/>
      <c r="L44" s="450"/>
      <c r="M44" s="450"/>
      <c r="P44" s="46"/>
      <c r="Q44" s="48"/>
    </row>
    <row r="45" spans="2:17" ht="32.1" customHeight="1" x14ac:dyDescent="0.35">
      <c r="B45" s="57"/>
      <c r="C45" s="57"/>
      <c r="D45" s="451"/>
      <c r="E45" s="451"/>
      <c r="F45" s="451"/>
      <c r="G45" s="451"/>
      <c r="H45" s="451"/>
      <c r="I45" s="451"/>
      <c r="J45" s="451"/>
      <c r="K45" s="451"/>
      <c r="L45" s="451"/>
      <c r="M45" s="451"/>
      <c r="N45" s="10">
        <f>SUM(L12:L39)</f>
        <v>64023.80000000001</v>
      </c>
      <c r="P45" s="46"/>
      <c r="Q45" s="48"/>
    </row>
    <row r="46" spans="2:17" ht="32.1" customHeight="1" x14ac:dyDescent="0.35">
      <c r="B46" s="57"/>
      <c r="C46" s="57"/>
      <c r="D46" s="451"/>
      <c r="E46" s="451"/>
      <c r="F46" s="451"/>
      <c r="G46" s="451"/>
      <c r="H46" s="451"/>
      <c r="I46" s="451"/>
      <c r="J46" s="451"/>
      <c r="K46" s="451"/>
      <c r="L46" s="451"/>
      <c r="M46" s="451"/>
      <c r="N46" s="10">
        <f>N45-L42</f>
        <v>0</v>
      </c>
      <c r="P46" s="46"/>
      <c r="Q46" s="48"/>
    </row>
    <row r="47" spans="2:17" ht="32.1" customHeight="1" x14ac:dyDescent="0.25">
      <c r="B47" s="57"/>
      <c r="C47" s="57"/>
      <c r="D47" s="277"/>
      <c r="E47" s="277"/>
      <c r="F47" s="278" t="s">
        <v>3</v>
      </c>
      <c r="G47" s="464" t="s">
        <v>0</v>
      </c>
      <c r="H47" s="465"/>
      <c r="I47" s="466"/>
      <c r="J47" s="279"/>
      <c r="K47" s="280"/>
      <c r="L47" s="278"/>
      <c r="M47" s="281"/>
      <c r="P47" s="46"/>
      <c r="Q47" s="48"/>
    </row>
    <row r="48" spans="2:17" ht="32.1" customHeight="1" x14ac:dyDescent="0.25">
      <c r="B48" s="57"/>
      <c r="C48" s="57"/>
      <c r="D48" s="281"/>
      <c r="E48" s="278"/>
      <c r="F48" s="282" t="s">
        <v>4</v>
      </c>
      <c r="G48" s="283" t="s">
        <v>1</v>
      </c>
      <c r="H48" s="283" t="s">
        <v>121</v>
      </c>
      <c r="I48" s="284" t="s">
        <v>124</v>
      </c>
      <c r="J48" s="284"/>
      <c r="K48" s="278" t="s">
        <v>137</v>
      </c>
      <c r="L48" s="278" t="s">
        <v>123</v>
      </c>
      <c r="M48" s="285"/>
      <c r="P48" s="46"/>
      <c r="Q48" s="48"/>
    </row>
    <row r="49" spans="1:17" ht="32.1" customHeight="1" x14ac:dyDescent="0.25">
      <c r="B49" s="57"/>
      <c r="C49" s="57"/>
      <c r="D49" s="286"/>
      <c r="E49" s="287" t="s">
        <v>8</v>
      </c>
      <c r="F49" s="278"/>
      <c r="G49" s="278" t="s">
        <v>6</v>
      </c>
      <c r="H49" s="278" t="s">
        <v>123</v>
      </c>
      <c r="I49" s="282" t="s">
        <v>125</v>
      </c>
      <c r="J49" s="282" t="s">
        <v>126</v>
      </c>
      <c r="K49" s="278" t="s">
        <v>139</v>
      </c>
      <c r="L49" s="278" t="s">
        <v>129</v>
      </c>
      <c r="M49" s="283" t="s">
        <v>132</v>
      </c>
      <c r="P49" s="46"/>
      <c r="Q49" s="48"/>
    </row>
    <row r="50" spans="1:17" ht="32.1" customHeight="1" x14ac:dyDescent="0.25">
      <c r="B50" s="57"/>
      <c r="C50" s="57"/>
      <c r="D50" s="286" t="s">
        <v>66</v>
      </c>
      <c r="E50" s="286" t="s">
        <v>7</v>
      </c>
      <c r="F50" s="283"/>
      <c r="G50" s="283"/>
      <c r="H50" s="283"/>
      <c r="I50" s="284"/>
      <c r="J50" s="288"/>
      <c r="K50" s="289"/>
      <c r="L50" s="283"/>
      <c r="M50" s="283"/>
      <c r="P50" s="46"/>
      <c r="Q50" s="48"/>
    </row>
    <row r="51" spans="1:17" ht="60" customHeight="1" x14ac:dyDescent="0.4">
      <c r="B51" s="57"/>
      <c r="C51" s="57"/>
      <c r="D51" s="401" t="s">
        <v>288</v>
      </c>
      <c r="E51" s="402"/>
      <c r="F51" s="403"/>
      <c r="G51" s="380"/>
      <c r="H51" s="376"/>
      <c r="I51" s="375"/>
      <c r="J51" s="375"/>
      <c r="K51" s="376"/>
      <c r="L51" s="376"/>
      <c r="M51" s="242"/>
      <c r="P51" s="46"/>
      <c r="Q51" s="48"/>
    </row>
    <row r="52" spans="1:17" ht="60" customHeight="1" x14ac:dyDescent="0.4">
      <c r="B52" s="57"/>
      <c r="C52" s="57"/>
      <c r="D52" s="404" t="s">
        <v>289</v>
      </c>
      <c r="E52" s="382" t="s">
        <v>290</v>
      </c>
      <c r="F52" s="397">
        <v>15</v>
      </c>
      <c r="G52" s="380">
        <v>6112</v>
      </c>
      <c r="H52" s="380">
        <v>6112</v>
      </c>
      <c r="I52" s="375">
        <f>IFERROR(IF(ROUND((((H52/F52*30.4)-VLOOKUP((H52/F52*30.4),TARIFA,1))*VLOOKUP((H52/F52*30.4),TARIFA,3)+VLOOKUP((H52/F52*30.4),TARIFA,2)-VLOOKUP((H52/F52*30.4),SUBSIDIO,2))/30.4*F52,2)&lt;0,ROUND(-(((H52/F52*30.4)-VLOOKUP((H52/F52*30.4),TARIFA,1))*VLOOKUP((H52/F52*30.4),TARIFA,3)+VLOOKUP((H52/F52*30.4),TARIFA,2)-VLOOKUP((H52/F52*30.4),SUBSIDIO,2))/30.4*F52,2),0),0)</f>
        <v>0</v>
      </c>
      <c r="J52" s="375">
        <f>IFERROR(IF(ROUND((((H52/F52*30.4)-VLOOKUP((H52/F52*30.4),TARIFA,1))*VLOOKUP((H52/F52*30.4),TARIFA,3)+VLOOKUP((H52/F52*30.4),TARIFA,2)-VLOOKUP((H52/F52*30.4),SUBSIDIO,2))/30.4*F52,2)&gt;0,ROUND((((H52/F52*30.4)-VLOOKUP((H52/F52*30.4),TARIFA,1))*VLOOKUP((H52/F52*30.4),TARIFA,3)+VLOOKUP((H52/F52*30.4),TARIFA,2)-VLOOKUP((H52/F52*30.4),SUBSIDIO,2))/30.4*F52,2),0),0)</f>
        <v>611.29999999999995</v>
      </c>
      <c r="K52" s="380"/>
      <c r="L52" s="380">
        <f>H52+I52-J52-K52</f>
        <v>5500.7</v>
      </c>
      <c r="M52" s="384"/>
      <c r="P52" s="46"/>
      <c r="Q52" s="48"/>
    </row>
    <row r="53" spans="1:17" ht="60" customHeight="1" x14ac:dyDescent="0.4">
      <c r="A53" s="8"/>
      <c r="B53" s="37"/>
      <c r="C53" s="37"/>
      <c r="D53" s="404" t="s">
        <v>219</v>
      </c>
      <c r="E53" s="396" t="s">
        <v>329</v>
      </c>
      <c r="F53" s="397">
        <v>15</v>
      </c>
      <c r="G53" s="380">
        <v>3933</v>
      </c>
      <c r="H53" s="376">
        <v>3933</v>
      </c>
      <c r="I53" s="375">
        <f>IFERROR(IF(ROUND((((H53/F53*30.4)-VLOOKUP((H53/F53*30.4),TARIFA,1))*VLOOKUP((H53/F53*30.4),TARIFA,3)+VLOOKUP((H53/F53*30.4),TARIFA,2)-VLOOKUP((H53/F53*30.4),SUBSIDIO,2))/30.4*F53,2)&lt;0,ROUND(-(((H53/F53*30.4)-VLOOKUP((H53/F53*30.4),TARIFA,1))*VLOOKUP((H53/F53*30.4),TARIFA,3)+VLOOKUP((H53/F53*30.4),TARIFA,2)-VLOOKUP((H53/F53*30.4),SUBSIDIO,2))/30.4*F53,2),0),0)</f>
        <v>0</v>
      </c>
      <c r="J53" s="375">
        <f>IFERROR(IF(ROUND((((H53/F53*30.4)-VLOOKUP((H53/F53*30.4),TARIFA,1))*VLOOKUP((H53/F53*30.4),TARIFA,3)+VLOOKUP((H53/F53*30.4),TARIFA,2)-VLOOKUP((H53/F53*30.4),SUBSIDIO,2))/30.4*F53,2)&gt;0,ROUND((((H53/F53*30.4)-VLOOKUP((H53/F53*30.4),TARIFA,1))*VLOOKUP((H53/F53*30.4),TARIFA,3)+VLOOKUP((H53/F53*30.4),TARIFA,2)-VLOOKUP((H53/F53*30.4),SUBSIDIO,2))/30.4*F53,2),0),0)</f>
        <v>292.72000000000003</v>
      </c>
      <c r="K53" s="376"/>
      <c r="L53" s="405">
        <f>H53+I53-J53-K53</f>
        <v>3640.2799999999997</v>
      </c>
      <c r="M53" s="386"/>
      <c r="P53" s="46"/>
      <c r="Q53" s="48"/>
    </row>
    <row r="54" spans="1:17" ht="60" customHeight="1" x14ac:dyDescent="0.4">
      <c r="A54" s="8"/>
      <c r="B54" s="37"/>
      <c r="C54" s="37"/>
      <c r="D54" s="406" t="s">
        <v>325</v>
      </c>
      <c r="E54" s="396"/>
      <c r="F54" s="397"/>
      <c r="G54" s="380"/>
      <c r="H54" s="376"/>
      <c r="I54" s="375"/>
      <c r="J54" s="375"/>
      <c r="K54" s="376"/>
      <c r="L54" s="376"/>
      <c r="M54" s="387"/>
      <c r="P54" s="46"/>
      <c r="Q54" s="48"/>
    </row>
    <row r="55" spans="1:17" ht="60" customHeight="1" x14ac:dyDescent="0.4">
      <c r="A55" s="8"/>
      <c r="B55" s="37"/>
      <c r="C55" s="37"/>
      <c r="D55" s="404" t="s">
        <v>297</v>
      </c>
      <c r="E55" s="396" t="s">
        <v>60</v>
      </c>
      <c r="F55" s="397">
        <v>15</v>
      </c>
      <c r="G55" s="374">
        <v>3888</v>
      </c>
      <c r="H55" s="374">
        <v>3888</v>
      </c>
      <c r="I55" s="375">
        <f>IFERROR(IF(ROUND((((H55/F55*30.4)-VLOOKUP((H55/F55*30.4),TARIFA,1))*VLOOKUP((H55/F55*30.4),TARIFA,3)+VLOOKUP((H55/F55*30.4),TARIFA,2)-VLOOKUP((H55/F55*30.4),SUBSIDIO,2))/30.4*F55,2)&lt;0,ROUND(-(((H55/F55*30.4)-VLOOKUP((H55/F55*30.4),TARIFA,1))*VLOOKUP((H55/F55*30.4),TARIFA,3)+VLOOKUP((H55/F55*30.4),TARIFA,2)-VLOOKUP((H55/F55*30.4),SUBSIDIO,2))/30.4*F55,2),0),0)</f>
        <v>0</v>
      </c>
      <c r="J55" s="376">
        <f>IFERROR(IF(ROUND((((H55/F55*30.4)-VLOOKUP((H55/F55*30.4),TARIFA,1))*VLOOKUP((H55/F55*30.4),TARIFA,3)+VLOOKUP((H55/F55*30.4),TARIFA,2)-VLOOKUP((H55/F55*30.4),SUBSIDIO,2))/30.4*F55,2)&gt;0,ROUND((((H55/F55*30.4)-VLOOKUP((H55/F55*30.4),TARIFA,1))*VLOOKUP((H55/F55*30.4),TARIFA,3)+VLOOKUP((H55/F55*30.4),TARIFA,2)-VLOOKUP((H55/F55*30.4),SUBSIDIO,2))/30.4*F55,2),0),0)</f>
        <v>287.83</v>
      </c>
      <c r="K55" s="376">
        <v>0</v>
      </c>
      <c r="L55" s="376">
        <f t="shared" ref="L55:L56" si="10">H55+I55-J55</f>
        <v>3600.17</v>
      </c>
      <c r="M55" s="242"/>
      <c r="P55" s="46"/>
      <c r="Q55" s="48"/>
    </row>
    <row r="56" spans="1:17" ht="60" customHeight="1" x14ac:dyDescent="0.4">
      <c r="A56" s="8"/>
      <c r="B56" s="37"/>
      <c r="C56" s="37"/>
      <c r="D56" s="404" t="s">
        <v>298</v>
      </c>
      <c r="E56" s="396" t="s">
        <v>326</v>
      </c>
      <c r="F56" s="397">
        <v>15</v>
      </c>
      <c r="G56" s="374">
        <v>3888</v>
      </c>
      <c r="H56" s="374">
        <v>3888</v>
      </c>
      <c r="I56" s="375">
        <f>IFERROR(IF(ROUND((((H56/F56*30.4)-VLOOKUP((H56/F56*30.4),TARIFA,1))*VLOOKUP((H56/F56*30.4),TARIFA,3)+VLOOKUP((H56/F56*30.4),TARIFA,2)-VLOOKUP((H56/F56*30.4),SUBSIDIO,2))/30.4*F56,2)&lt;0,ROUND(-(((H56/F56*30.4)-VLOOKUP((H56/F56*30.4),TARIFA,1))*VLOOKUP((H56/F56*30.4),TARIFA,3)+VLOOKUP((H56/F56*30.4),TARIFA,2)-VLOOKUP((H56/F56*30.4),SUBSIDIO,2))/30.4*F56,2),0),0)</f>
        <v>0</v>
      </c>
      <c r="J56" s="376">
        <f>IFERROR(IF(ROUND((((H56/F56*30.4)-VLOOKUP((H56/F56*30.4),TARIFA,1))*VLOOKUP((H56/F56*30.4),TARIFA,3)+VLOOKUP((H56/F56*30.4),TARIFA,2)-VLOOKUP((H56/F56*30.4),SUBSIDIO,2))/30.4*F56,2)&gt;0,ROUND((((H56/F56*30.4)-VLOOKUP((H56/F56*30.4),TARIFA,1))*VLOOKUP((H56/F56*30.4),TARIFA,3)+VLOOKUP((H56/F56*30.4),TARIFA,2)-VLOOKUP((H56/F56*30.4),SUBSIDIO,2))/30.4*F56,2),0),0)</f>
        <v>287.83</v>
      </c>
      <c r="K56" s="376">
        <v>0</v>
      </c>
      <c r="L56" s="376">
        <f t="shared" si="10"/>
        <v>3600.17</v>
      </c>
      <c r="M56" s="384"/>
      <c r="P56" s="46"/>
      <c r="Q56" s="48"/>
    </row>
    <row r="57" spans="1:17" ht="60" customHeight="1" x14ac:dyDescent="0.4">
      <c r="A57" s="8"/>
      <c r="B57" s="37"/>
      <c r="C57" s="37"/>
      <c r="D57" s="406" t="s">
        <v>147</v>
      </c>
      <c r="E57" s="396"/>
      <c r="F57" s="397"/>
      <c r="G57" s="380"/>
      <c r="H57" s="376"/>
      <c r="I57" s="375"/>
      <c r="J57" s="375"/>
      <c r="K57" s="376"/>
      <c r="L57" s="376"/>
      <c r="M57" s="384"/>
      <c r="P57" s="46"/>
      <c r="Q57" s="48"/>
    </row>
    <row r="58" spans="1:17" ht="60" customHeight="1" x14ac:dyDescent="0.4">
      <c r="A58" s="8"/>
      <c r="B58" s="37"/>
      <c r="C58" s="37"/>
      <c r="D58" s="404" t="s">
        <v>263</v>
      </c>
      <c r="E58" s="396" t="s">
        <v>148</v>
      </c>
      <c r="F58" s="397">
        <v>15</v>
      </c>
      <c r="G58" s="380">
        <v>4910</v>
      </c>
      <c r="H58" s="376">
        <v>4910</v>
      </c>
      <c r="I58" s="375">
        <f>IFERROR(IF(ROUND((((H58/F58*30.4)-VLOOKUP((H58/F58*30.4),TARIFA,1))*VLOOKUP((H58/F58*30.4),TARIFA,3)+VLOOKUP((H58/F58*30.4),TARIFA,2)-VLOOKUP((H58/F58*30.4),SUBSIDIO,2))/30.4*F58,2)&lt;0,ROUND(-(((H58/F58*30.4)-VLOOKUP((H58/F58*30.4),TARIFA,1))*VLOOKUP((H58/F58*30.4),TARIFA,3)+VLOOKUP((H58/F58*30.4),TARIFA,2)-VLOOKUP((H58/F58*30.4),SUBSIDIO,2))/30.4*F58,2),0),0)</f>
        <v>0</v>
      </c>
      <c r="J58" s="375">
        <f>IFERROR(IF(ROUND((((H58/F58*30.4)-VLOOKUP((H58/F58*30.4),TARIFA,1))*VLOOKUP((H58/F58*30.4),TARIFA,3)+VLOOKUP((H58/F58*30.4),TARIFA,2)-VLOOKUP((H58/F58*30.4),SUBSIDIO,2))/30.4*F58,2)&gt;0,ROUND((((H58/F58*30.4)-VLOOKUP((H58/F58*30.4),TARIFA,1))*VLOOKUP((H58/F58*30.4),TARIFA,3)+VLOOKUP((H58/F58*30.4),TARIFA,2)-VLOOKUP((H58/F58*30.4),SUBSIDIO,2))/30.4*F58,2),0),0)</f>
        <v>407.52</v>
      </c>
      <c r="K58" s="376"/>
      <c r="L58" s="380">
        <f>H58+I58-J58-K58</f>
        <v>4502.4799999999996</v>
      </c>
      <c r="M58" s="387"/>
      <c r="P58" s="46"/>
      <c r="Q58" s="48"/>
    </row>
    <row r="59" spans="1:17" ht="60" customHeight="1" x14ac:dyDescent="0.4">
      <c r="A59" s="8"/>
      <c r="B59" s="37"/>
      <c r="C59" s="37"/>
      <c r="D59" s="404" t="s">
        <v>264</v>
      </c>
      <c r="E59" s="396" t="s">
        <v>220</v>
      </c>
      <c r="F59" s="397">
        <v>15</v>
      </c>
      <c r="G59" s="380">
        <v>3299</v>
      </c>
      <c r="H59" s="376">
        <v>3299</v>
      </c>
      <c r="I59" s="375"/>
      <c r="J59" s="375">
        <f>IFERROR(IF(ROUND((((H59/F59*30.4)-VLOOKUP((H59/F59*30.4),TARIFA,1))*VLOOKUP((H59/F59*30.4),TARIFA,3)+VLOOKUP((H59/F59*30.4),TARIFA,2)-VLOOKUP((H59/F59*30.4),SUBSIDIO,2))/30.4*F59,2)&gt;0,ROUND((((H59/F59*30.4)-VLOOKUP((H59/F59*30.4),TARIFA,1))*VLOOKUP((H59/F59*30.4),TARIFA,3)+VLOOKUP((H59/F59*30.4),TARIFA,2)-VLOOKUP((H59/F59*30.4),SUBSIDIO,2))/30.4*F59,2),0),0)</f>
        <v>98.64</v>
      </c>
      <c r="K59" s="376"/>
      <c r="L59" s="376">
        <f t="shared" ref="L59" si="11">H59+I59-J59-K59</f>
        <v>3200.36</v>
      </c>
      <c r="M59" s="387"/>
      <c r="P59" s="46"/>
      <c r="Q59" s="48"/>
    </row>
    <row r="60" spans="1:17" ht="60" customHeight="1" x14ac:dyDescent="0.4">
      <c r="A60" s="8"/>
      <c r="B60" s="37"/>
      <c r="C60" s="37"/>
      <c r="D60" s="407" t="s">
        <v>33</v>
      </c>
      <c r="E60" s="382"/>
      <c r="F60" s="408"/>
      <c r="G60" s="369"/>
      <c r="H60" s="369"/>
      <c r="I60" s="370"/>
      <c r="J60" s="370"/>
      <c r="K60" s="369"/>
      <c r="L60" s="409"/>
      <c r="M60" s="385"/>
      <c r="P60" s="46"/>
      <c r="Q60" s="48"/>
    </row>
    <row r="61" spans="1:17" ht="60" customHeight="1" x14ac:dyDescent="0.4">
      <c r="A61" s="8"/>
      <c r="B61" s="37"/>
      <c r="C61" s="37"/>
      <c r="D61" s="395" t="s">
        <v>311</v>
      </c>
      <c r="E61" s="396" t="s">
        <v>313</v>
      </c>
      <c r="F61" s="397">
        <v>15</v>
      </c>
      <c r="G61" s="380">
        <v>3187</v>
      </c>
      <c r="H61" s="376">
        <v>3187</v>
      </c>
      <c r="I61" s="375"/>
      <c r="J61" s="375">
        <f>IFERROR(IF(ROUND((((H61/F61*30.4)-VLOOKUP((H61/F61*30.4),TARIFA,1))*VLOOKUP((H61/F61*30.4),TARIFA,3)+VLOOKUP((H61/F61*30.4),TARIFA,2)-VLOOKUP((H61/F61*30.4),SUBSIDIO,2))/30.4*F61,2)&gt;0,ROUND((((H61/F61*30.4)-VLOOKUP((H61/F61*30.4),TARIFA,1))*VLOOKUP((H61/F61*30.4),TARIFA,3)+VLOOKUP((H61/F61*30.4),TARIFA,2)-VLOOKUP((H61/F61*30.4),SUBSIDIO,2))/30.4*F61,2),0),0)</f>
        <v>86.46</v>
      </c>
      <c r="K61" s="376"/>
      <c r="L61" s="376">
        <f t="shared" ref="L61" si="12">H61+I61-J61-K61</f>
        <v>3100.54</v>
      </c>
      <c r="M61" s="387"/>
      <c r="P61" s="46"/>
      <c r="Q61" s="48"/>
    </row>
    <row r="62" spans="1:17" ht="60" customHeight="1" x14ac:dyDescent="0.4">
      <c r="A62" s="8"/>
      <c r="B62" s="8"/>
      <c r="C62" s="8"/>
      <c r="D62" s="365" t="s">
        <v>151</v>
      </c>
      <c r="E62" s="366"/>
      <c r="F62" s="367"/>
      <c r="G62" s="368"/>
      <c r="H62" s="369"/>
      <c r="I62" s="370"/>
      <c r="J62" s="370"/>
      <c r="K62" s="369"/>
      <c r="L62" s="369"/>
      <c r="M62" s="55"/>
      <c r="P62" s="46"/>
      <c r="Q62" s="48"/>
    </row>
    <row r="63" spans="1:17" ht="60" customHeight="1" x14ac:dyDescent="0.4">
      <c r="A63" s="8"/>
      <c r="B63" s="8"/>
      <c r="C63" s="8"/>
      <c r="D63" s="404" t="s">
        <v>309</v>
      </c>
      <c r="E63" s="396" t="s">
        <v>310</v>
      </c>
      <c r="F63" s="397">
        <v>15</v>
      </c>
      <c r="G63" s="376">
        <v>7108</v>
      </c>
      <c r="H63" s="376">
        <v>7108</v>
      </c>
      <c r="I63" s="375">
        <f t="shared" ref="I63:I81" si="13">IFERROR(IF(ROUND((((H63/F63*30.4)-VLOOKUP((H63/F63*30.4),TARIFA,1))*VLOOKUP((H63/F63*30.4),TARIFA,3)+VLOOKUP((H63/F63*30.4),TARIFA,2)-VLOOKUP((H63/F63*30.4),SUBSIDIO,2))/30.4*F63,2)&lt;0,ROUND(-(((H63/F63*30.4)-VLOOKUP((H63/F63*30.4),TARIFA,1))*VLOOKUP((H63/F63*30.4),TARIFA,3)+VLOOKUP((H63/F63*30.4),TARIFA,2)-VLOOKUP((H63/F63*30.4),SUBSIDIO,2))/30.4*F63,2),0),0)</f>
        <v>0</v>
      </c>
      <c r="J63" s="375">
        <f t="shared" ref="J63:J81" si="14">IFERROR(IF(ROUND((((H63/F63*30.4)-VLOOKUP((H63/F63*30.4),TARIFA,1))*VLOOKUP((H63/F63*30.4),TARIFA,3)+VLOOKUP((H63/F63*30.4),TARIFA,2)-VLOOKUP((H63/F63*30.4),SUBSIDIO,2))/30.4*F63,2)&gt;0,ROUND((((H63/F63*30.4)-VLOOKUP((H63/F63*30.4),TARIFA,1))*VLOOKUP((H63/F63*30.4),TARIFA,3)+VLOOKUP((H63/F63*30.4),TARIFA,2)-VLOOKUP((H63/F63*30.4),SUBSIDIO,2))/30.4*F63,2),0),0)</f>
        <v>807.17</v>
      </c>
      <c r="K63" s="376"/>
      <c r="L63" s="380">
        <f t="shared" ref="L63:L81" si="15">H63+I63-J63-K63</f>
        <v>6300.83</v>
      </c>
      <c r="M63" s="18"/>
      <c r="P63" s="46"/>
      <c r="Q63" s="48"/>
    </row>
    <row r="64" spans="1:17" ht="60" customHeight="1" x14ac:dyDescent="0.4">
      <c r="A64" s="8"/>
      <c r="B64" s="8"/>
      <c r="C64" s="8"/>
      <c r="D64" s="404" t="s">
        <v>159</v>
      </c>
      <c r="E64" s="396" t="s">
        <v>26</v>
      </c>
      <c r="F64" s="397">
        <v>15</v>
      </c>
      <c r="G64" s="380">
        <v>3052</v>
      </c>
      <c r="H64" s="376">
        <v>3052</v>
      </c>
      <c r="I64" s="375">
        <f t="shared" si="13"/>
        <v>0</v>
      </c>
      <c r="J64" s="375">
        <f t="shared" si="14"/>
        <v>51.49</v>
      </c>
      <c r="K64" s="376"/>
      <c r="L64" s="380">
        <f t="shared" si="15"/>
        <v>3000.51</v>
      </c>
      <c r="M64" s="18"/>
      <c r="P64" s="46"/>
      <c r="Q64" s="48"/>
    </row>
    <row r="65" spans="1:239" ht="60" customHeight="1" x14ac:dyDescent="0.4">
      <c r="A65" s="8"/>
      <c r="B65" s="8"/>
      <c r="C65" s="8"/>
      <c r="D65" s="404" t="s">
        <v>160</v>
      </c>
      <c r="E65" s="396" t="s">
        <v>26</v>
      </c>
      <c r="F65" s="397">
        <v>15</v>
      </c>
      <c r="G65" s="380">
        <v>3052</v>
      </c>
      <c r="H65" s="376">
        <v>3052</v>
      </c>
      <c r="I65" s="375">
        <f t="shared" ref="I65" si="16">IFERROR(IF(ROUND((((H65/F65*30.4)-VLOOKUP((H65/F65*30.4),TARIFA,1))*VLOOKUP((H65/F65*30.4),TARIFA,3)+VLOOKUP((H65/F65*30.4),TARIFA,2)-VLOOKUP((H65/F65*30.4),SUBSIDIO,2))/30.4*F65,2)&lt;0,ROUND(-(((H65/F65*30.4)-VLOOKUP((H65/F65*30.4),TARIFA,1))*VLOOKUP((H65/F65*30.4),TARIFA,3)+VLOOKUP((H65/F65*30.4),TARIFA,2)-VLOOKUP((H65/F65*30.4),SUBSIDIO,2))/30.4*F65,2),0),0)</f>
        <v>0</v>
      </c>
      <c r="J65" s="375">
        <f t="shared" ref="J65" si="17">IFERROR(IF(ROUND((((H65/F65*30.4)-VLOOKUP((H65/F65*30.4),TARIFA,1))*VLOOKUP((H65/F65*30.4),TARIFA,3)+VLOOKUP((H65/F65*30.4),TARIFA,2)-VLOOKUP((H65/F65*30.4),SUBSIDIO,2))/30.4*F65,2)&gt;0,ROUND((((H65/F65*30.4)-VLOOKUP((H65/F65*30.4),TARIFA,1))*VLOOKUP((H65/F65*30.4),TARIFA,3)+VLOOKUP((H65/F65*30.4),TARIFA,2)-VLOOKUP((H65/F65*30.4),SUBSIDIO,2))/30.4*F65,2),0),0)</f>
        <v>51.49</v>
      </c>
      <c r="K65" s="376"/>
      <c r="L65" s="380">
        <f t="shared" ref="L65" si="18">H65+I65-J65-K65</f>
        <v>3000.51</v>
      </c>
      <c r="M65" s="18"/>
      <c r="P65" s="46"/>
      <c r="Q65" s="48"/>
    </row>
    <row r="66" spans="1:239" ht="60" customHeight="1" x14ac:dyDescent="0.4">
      <c r="A66" s="8"/>
      <c r="B66" s="8"/>
      <c r="C66" s="8"/>
      <c r="D66" s="404" t="s">
        <v>152</v>
      </c>
      <c r="E66" s="396" t="s">
        <v>32</v>
      </c>
      <c r="F66" s="397">
        <v>15</v>
      </c>
      <c r="G66" s="380">
        <v>3052</v>
      </c>
      <c r="H66" s="376">
        <v>3052</v>
      </c>
      <c r="I66" s="375">
        <f t="shared" ref="I66" si="19">IFERROR(IF(ROUND((((H66/F66*30.4)-VLOOKUP((H66/F66*30.4),TARIFA,1))*VLOOKUP((H66/F66*30.4),TARIFA,3)+VLOOKUP((H66/F66*30.4),TARIFA,2)-VLOOKUP((H66/F66*30.4),SUBSIDIO,2))/30.4*F66,2)&lt;0,ROUND(-(((H66/F66*30.4)-VLOOKUP((H66/F66*30.4),TARIFA,1))*VLOOKUP((H66/F66*30.4),TARIFA,3)+VLOOKUP((H66/F66*30.4),TARIFA,2)-VLOOKUP((H66/F66*30.4),SUBSIDIO,2))/30.4*F66,2),0),0)</f>
        <v>0</v>
      </c>
      <c r="J66" s="375">
        <f t="shared" ref="J66" si="20">IFERROR(IF(ROUND((((H66/F66*30.4)-VLOOKUP((H66/F66*30.4),TARIFA,1))*VLOOKUP((H66/F66*30.4),TARIFA,3)+VLOOKUP((H66/F66*30.4),TARIFA,2)-VLOOKUP((H66/F66*30.4),SUBSIDIO,2))/30.4*F66,2)&gt;0,ROUND((((H66/F66*30.4)-VLOOKUP((H66/F66*30.4),TARIFA,1))*VLOOKUP((H66/F66*30.4),TARIFA,3)+VLOOKUP((H66/F66*30.4),TARIFA,2)-VLOOKUP((H66/F66*30.4),SUBSIDIO,2))/30.4*F66,2),0),0)</f>
        <v>51.49</v>
      </c>
      <c r="K66" s="376"/>
      <c r="L66" s="380">
        <f t="shared" ref="L66" si="21">H66+I66-J66-K66</f>
        <v>3000.51</v>
      </c>
      <c r="M66" s="18"/>
      <c r="P66" s="46"/>
      <c r="Q66" s="48"/>
    </row>
    <row r="67" spans="1:239" ht="60" customHeight="1" x14ac:dyDescent="0.4">
      <c r="A67" s="8"/>
      <c r="B67" s="8"/>
      <c r="C67" s="8"/>
      <c r="D67" s="382" t="s">
        <v>50</v>
      </c>
      <c r="E67" s="410" t="s">
        <v>36</v>
      </c>
      <c r="F67" s="373">
        <v>15</v>
      </c>
      <c r="G67" s="380">
        <v>3411</v>
      </c>
      <c r="H67" s="376">
        <v>3411</v>
      </c>
      <c r="I67" s="375">
        <f t="shared" si="13"/>
        <v>0</v>
      </c>
      <c r="J67" s="375">
        <f t="shared" si="14"/>
        <v>110.83</v>
      </c>
      <c r="K67" s="376">
        <v>0</v>
      </c>
      <c r="L67" s="380">
        <f t="shared" si="15"/>
        <v>3300.17</v>
      </c>
      <c r="M67" s="18"/>
      <c r="P67" s="46"/>
      <c r="Q67" s="48"/>
    </row>
    <row r="68" spans="1:239" ht="60" customHeight="1" x14ac:dyDescent="0.4">
      <c r="A68" s="8"/>
      <c r="B68" s="8"/>
      <c r="C68" s="8"/>
      <c r="D68" s="382" t="s">
        <v>82</v>
      </c>
      <c r="E68" s="410" t="s">
        <v>26</v>
      </c>
      <c r="F68" s="373">
        <v>15</v>
      </c>
      <c r="G68" s="380">
        <v>3052</v>
      </c>
      <c r="H68" s="376">
        <v>3052</v>
      </c>
      <c r="I68" s="375">
        <f t="shared" ref="I68" si="22">IFERROR(IF(ROUND((((H68/F68*30.4)-VLOOKUP((H68/F68*30.4),TARIFA,1))*VLOOKUP((H68/F68*30.4),TARIFA,3)+VLOOKUP((H68/F68*30.4),TARIFA,2)-VLOOKUP((H68/F68*30.4),SUBSIDIO,2))/30.4*F68,2)&lt;0,ROUND(-(((H68/F68*30.4)-VLOOKUP((H68/F68*30.4),TARIFA,1))*VLOOKUP((H68/F68*30.4),TARIFA,3)+VLOOKUP((H68/F68*30.4),TARIFA,2)-VLOOKUP((H68/F68*30.4),SUBSIDIO,2))/30.4*F68,2),0),0)</f>
        <v>0</v>
      </c>
      <c r="J68" s="375">
        <f t="shared" ref="J68" si="23">IFERROR(IF(ROUND((((H68/F68*30.4)-VLOOKUP((H68/F68*30.4),TARIFA,1))*VLOOKUP((H68/F68*30.4),TARIFA,3)+VLOOKUP((H68/F68*30.4),TARIFA,2)-VLOOKUP((H68/F68*30.4),SUBSIDIO,2))/30.4*F68,2)&gt;0,ROUND((((H68/F68*30.4)-VLOOKUP((H68/F68*30.4),TARIFA,1))*VLOOKUP((H68/F68*30.4),TARIFA,3)+VLOOKUP((H68/F68*30.4),TARIFA,2)-VLOOKUP((H68/F68*30.4),SUBSIDIO,2))/30.4*F68,2),0),0)</f>
        <v>51.49</v>
      </c>
      <c r="K68" s="376"/>
      <c r="L68" s="380">
        <f t="shared" ref="L68" si="24">H68+I68-J68-K68</f>
        <v>3000.51</v>
      </c>
      <c r="M68" s="18"/>
      <c r="P68" s="46"/>
      <c r="Q68" s="48"/>
    </row>
    <row r="69" spans="1:239" ht="60" customHeight="1" x14ac:dyDescent="0.4">
      <c r="A69" s="8"/>
      <c r="B69" s="8"/>
      <c r="C69" s="8"/>
      <c r="D69" s="371" t="s">
        <v>85</v>
      </c>
      <c r="E69" s="372" t="s">
        <v>26</v>
      </c>
      <c r="F69" s="373">
        <v>15</v>
      </c>
      <c r="G69" s="380">
        <v>3355</v>
      </c>
      <c r="H69" s="376">
        <f>G69</f>
        <v>3355</v>
      </c>
      <c r="I69" s="375">
        <f t="shared" si="13"/>
        <v>0</v>
      </c>
      <c r="J69" s="375">
        <f t="shared" si="14"/>
        <v>104.74</v>
      </c>
      <c r="K69" s="376">
        <v>0</v>
      </c>
      <c r="L69" s="380">
        <f t="shared" si="15"/>
        <v>3250.26</v>
      </c>
      <c r="M69" s="18"/>
      <c r="P69" s="46"/>
      <c r="Q69" s="48"/>
    </row>
    <row r="70" spans="1:239" ht="60" customHeight="1" x14ac:dyDescent="0.4">
      <c r="A70" s="8"/>
      <c r="B70" s="8"/>
      <c r="C70" s="8"/>
      <c r="D70" s="371" t="s">
        <v>104</v>
      </c>
      <c r="E70" s="371" t="s">
        <v>103</v>
      </c>
      <c r="F70" s="373">
        <v>15</v>
      </c>
      <c r="G70" s="380">
        <v>3052</v>
      </c>
      <c r="H70" s="376">
        <v>3052</v>
      </c>
      <c r="I70" s="375">
        <f t="shared" si="13"/>
        <v>0</v>
      </c>
      <c r="J70" s="375">
        <f t="shared" si="14"/>
        <v>51.49</v>
      </c>
      <c r="K70" s="376"/>
      <c r="L70" s="380">
        <f t="shared" si="15"/>
        <v>3000.51</v>
      </c>
      <c r="M70" s="18"/>
      <c r="P70" s="46"/>
      <c r="Q70" s="48"/>
    </row>
    <row r="71" spans="1:239" ht="60" customHeight="1" x14ac:dyDescent="0.4">
      <c r="A71" s="8"/>
      <c r="B71" s="8"/>
      <c r="C71" s="8"/>
      <c r="D71" s="371" t="s">
        <v>70</v>
      </c>
      <c r="E71" s="371" t="s">
        <v>49</v>
      </c>
      <c r="F71" s="373">
        <v>15</v>
      </c>
      <c r="G71" s="380">
        <v>3052</v>
      </c>
      <c r="H71" s="376">
        <v>3052</v>
      </c>
      <c r="I71" s="375">
        <f t="shared" ref="I71" si="25">IFERROR(IF(ROUND((((H71/F71*30.4)-VLOOKUP((H71/F71*30.4),TARIFA,1))*VLOOKUP((H71/F71*30.4),TARIFA,3)+VLOOKUP((H71/F71*30.4),TARIFA,2)-VLOOKUP((H71/F71*30.4),SUBSIDIO,2))/30.4*F71,2)&lt;0,ROUND(-(((H71/F71*30.4)-VLOOKUP((H71/F71*30.4),TARIFA,1))*VLOOKUP((H71/F71*30.4),TARIFA,3)+VLOOKUP((H71/F71*30.4),TARIFA,2)-VLOOKUP((H71/F71*30.4),SUBSIDIO,2))/30.4*F71,2),0),0)</f>
        <v>0</v>
      </c>
      <c r="J71" s="375">
        <f t="shared" ref="J71" si="26">IFERROR(IF(ROUND((((H71/F71*30.4)-VLOOKUP((H71/F71*30.4),TARIFA,1))*VLOOKUP((H71/F71*30.4),TARIFA,3)+VLOOKUP((H71/F71*30.4),TARIFA,2)-VLOOKUP((H71/F71*30.4),SUBSIDIO,2))/30.4*F71,2)&gt;0,ROUND((((H71/F71*30.4)-VLOOKUP((H71/F71*30.4),TARIFA,1))*VLOOKUP((H71/F71*30.4),TARIFA,3)+VLOOKUP((H71/F71*30.4),TARIFA,2)-VLOOKUP((H71/F71*30.4),SUBSIDIO,2))/30.4*F71,2),0),0)</f>
        <v>51.49</v>
      </c>
      <c r="K71" s="376"/>
      <c r="L71" s="380">
        <f t="shared" ref="L71" si="27">H71+I71-J71-K71</f>
        <v>3000.51</v>
      </c>
      <c r="M71" s="18"/>
      <c r="P71" s="46"/>
      <c r="Q71" s="48"/>
    </row>
    <row r="72" spans="1:239" ht="60" hidden="1" customHeight="1" x14ac:dyDescent="0.4">
      <c r="A72" s="8"/>
      <c r="B72" s="8"/>
      <c r="C72" s="8"/>
      <c r="D72" s="371"/>
      <c r="E72" s="371"/>
      <c r="F72" s="373"/>
      <c r="G72" s="380"/>
      <c r="H72" s="376"/>
      <c r="I72" s="375"/>
      <c r="J72" s="375"/>
      <c r="K72" s="376"/>
      <c r="L72" s="380"/>
      <c r="M72" s="18"/>
      <c r="P72" s="46"/>
      <c r="Q72" s="48"/>
    </row>
    <row r="73" spans="1:239" ht="60" customHeight="1" x14ac:dyDescent="0.4">
      <c r="A73" s="8"/>
      <c r="B73" s="8"/>
      <c r="C73" s="8"/>
      <c r="D73" s="371" t="s">
        <v>77</v>
      </c>
      <c r="E73" s="371" t="s">
        <v>26</v>
      </c>
      <c r="F73" s="373">
        <v>15</v>
      </c>
      <c r="G73" s="380">
        <v>4908</v>
      </c>
      <c r="H73" s="376">
        <v>4908</v>
      </c>
      <c r="I73" s="375">
        <f t="shared" si="13"/>
        <v>0</v>
      </c>
      <c r="J73" s="375">
        <f t="shared" si="14"/>
        <v>407.2</v>
      </c>
      <c r="K73" s="376">
        <v>0</v>
      </c>
      <c r="L73" s="380">
        <f t="shared" si="15"/>
        <v>4500.8</v>
      </c>
      <c r="M73" s="18"/>
      <c r="P73" s="46"/>
      <c r="Q73" s="48"/>
    </row>
    <row r="74" spans="1:239" ht="60" customHeight="1" x14ac:dyDescent="0.4">
      <c r="A74" s="8"/>
      <c r="B74" s="8"/>
      <c r="C74" s="8"/>
      <c r="D74" s="371" t="s">
        <v>86</v>
      </c>
      <c r="E74" s="371" t="s">
        <v>26</v>
      </c>
      <c r="F74" s="373">
        <v>15</v>
      </c>
      <c r="G74" s="380">
        <v>2492</v>
      </c>
      <c r="H74" s="376">
        <v>2492</v>
      </c>
      <c r="I74" s="375">
        <f t="shared" si="13"/>
        <v>15.06</v>
      </c>
      <c r="J74" s="375">
        <f t="shared" si="14"/>
        <v>0</v>
      </c>
      <c r="K74" s="376">
        <v>0</v>
      </c>
      <c r="L74" s="380">
        <f t="shared" si="15"/>
        <v>2507.06</v>
      </c>
      <c r="M74" s="18"/>
      <c r="P74" s="46"/>
      <c r="Q74" s="48"/>
    </row>
    <row r="75" spans="1:239" ht="60" customHeight="1" x14ac:dyDescent="0.4">
      <c r="A75" s="8"/>
      <c r="B75" s="8"/>
      <c r="C75" s="8"/>
      <c r="D75" s="371" t="s">
        <v>84</v>
      </c>
      <c r="E75" s="371" t="s">
        <v>26</v>
      </c>
      <c r="F75" s="373">
        <v>15</v>
      </c>
      <c r="G75" s="380">
        <v>3052</v>
      </c>
      <c r="H75" s="376">
        <v>3052</v>
      </c>
      <c r="I75" s="375">
        <f t="shared" si="13"/>
        <v>0</v>
      </c>
      <c r="J75" s="375">
        <f t="shared" si="14"/>
        <v>51.49</v>
      </c>
      <c r="K75" s="376"/>
      <c r="L75" s="380">
        <f t="shared" si="15"/>
        <v>3000.51</v>
      </c>
      <c r="M75" s="18"/>
      <c r="P75" s="46"/>
      <c r="Q75" s="48"/>
    </row>
    <row r="76" spans="1:239" ht="60" customHeight="1" x14ac:dyDescent="0.4">
      <c r="A76" s="8"/>
      <c r="B76" s="8"/>
      <c r="C76" s="8"/>
      <c r="D76" s="371" t="s">
        <v>112</v>
      </c>
      <c r="E76" s="371" t="s">
        <v>26</v>
      </c>
      <c r="F76" s="373">
        <v>15</v>
      </c>
      <c r="G76" s="380">
        <v>3052</v>
      </c>
      <c r="H76" s="376">
        <v>3052</v>
      </c>
      <c r="I76" s="375">
        <f t="shared" ref="I76" si="28">IFERROR(IF(ROUND((((H76/F76*30.4)-VLOOKUP((H76/F76*30.4),TARIFA,1))*VLOOKUP((H76/F76*30.4),TARIFA,3)+VLOOKUP((H76/F76*30.4),TARIFA,2)-VLOOKUP((H76/F76*30.4),SUBSIDIO,2))/30.4*F76,2)&lt;0,ROUND(-(((H76/F76*30.4)-VLOOKUP((H76/F76*30.4),TARIFA,1))*VLOOKUP((H76/F76*30.4),TARIFA,3)+VLOOKUP((H76/F76*30.4),TARIFA,2)-VLOOKUP((H76/F76*30.4),SUBSIDIO,2))/30.4*F76,2),0),0)</f>
        <v>0</v>
      </c>
      <c r="J76" s="375">
        <f t="shared" ref="J76" si="29">IFERROR(IF(ROUND((((H76/F76*30.4)-VLOOKUP((H76/F76*30.4),TARIFA,1))*VLOOKUP((H76/F76*30.4),TARIFA,3)+VLOOKUP((H76/F76*30.4),TARIFA,2)-VLOOKUP((H76/F76*30.4),SUBSIDIO,2))/30.4*F76,2)&gt;0,ROUND((((H76/F76*30.4)-VLOOKUP((H76/F76*30.4),TARIFA,1))*VLOOKUP((H76/F76*30.4),TARIFA,3)+VLOOKUP((H76/F76*30.4),TARIFA,2)-VLOOKUP((H76/F76*30.4),SUBSIDIO,2))/30.4*F76,2),0),0)</f>
        <v>51.49</v>
      </c>
      <c r="K76" s="376"/>
      <c r="L76" s="380">
        <f t="shared" ref="L76" si="30">H76+I76-J76-K76</f>
        <v>3000.51</v>
      </c>
      <c r="M76" s="18"/>
      <c r="P76" s="46"/>
      <c r="Q76" s="48"/>
    </row>
    <row r="77" spans="1:239" ht="60" customHeight="1" x14ac:dyDescent="0.4">
      <c r="A77" s="8"/>
      <c r="B77" s="8"/>
      <c r="C77" s="8"/>
      <c r="D77" s="371" t="s">
        <v>83</v>
      </c>
      <c r="E77" s="371" t="s">
        <v>26</v>
      </c>
      <c r="F77" s="373">
        <v>15</v>
      </c>
      <c r="G77" s="374">
        <v>3888</v>
      </c>
      <c r="H77" s="374">
        <v>3888</v>
      </c>
      <c r="I77" s="375">
        <f>IFERROR(IF(ROUND((((H77/F77*30.4)-VLOOKUP((H77/F77*30.4),TARIFA,1))*VLOOKUP((H77/F77*30.4),TARIFA,3)+VLOOKUP((H77/F77*30.4),TARIFA,2)-VLOOKUP((H77/F77*30.4),SUBSIDIO,2))/30.4*F77,2)&lt;0,ROUND(-(((H77/F77*30.4)-VLOOKUP((H77/F77*30.4),TARIFA,1))*VLOOKUP((H77/F77*30.4),TARIFA,3)+VLOOKUP((H77/F77*30.4),TARIFA,2)-VLOOKUP((H77/F77*30.4),SUBSIDIO,2))/30.4*F77,2),0),0)</f>
        <v>0</v>
      </c>
      <c r="J77" s="376">
        <f>IFERROR(IF(ROUND((((H77/F77*30.4)-VLOOKUP((H77/F77*30.4),TARIFA,1))*VLOOKUP((H77/F77*30.4),TARIFA,3)+VLOOKUP((H77/F77*30.4),TARIFA,2)-VLOOKUP((H77/F77*30.4),SUBSIDIO,2))/30.4*F77,2)&gt;0,ROUND((((H77/F77*30.4)-VLOOKUP((H77/F77*30.4),TARIFA,1))*VLOOKUP((H77/F77*30.4),TARIFA,3)+VLOOKUP((H77/F77*30.4),TARIFA,2)-VLOOKUP((H77/F77*30.4),SUBSIDIO,2))/30.4*F77,2),0),0)</f>
        <v>287.83</v>
      </c>
      <c r="K77" s="376">
        <v>0</v>
      </c>
      <c r="L77" s="376">
        <f t="shared" ref="L77" si="31">H77+I77-J77</f>
        <v>3600.17</v>
      </c>
      <c r="M77" s="18"/>
      <c r="P77" s="46"/>
      <c r="Q77" s="48"/>
    </row>
    <row r="78" spans="1:239" ht="60" customHeight="1" x14ac:dyDescent="0.4">
      <c r="A78" s="8"/>
      <c r="B78" s="254"/>
      <c r="C78" s="322"/>
      <c r="D78" s="371" t="s">
        <v>312</v>
      </c>
      <c r="E78" s="371" t="s">
        <v>26</v>
      </c>
      <c r="F78" s="373">
        <v>15</v>
      </c>
      <c r="G78" s="380">
        <v>4225</v>
      </c>
      <c r="H78" s="376">
        <v>4225</v>
      </c>
      <c r="I78" s="375">
        <f t="shared" si="13"/>
        <v>0</v>
      </c>
      <c r="J78" s="375">
        <f t="shared" si="14"/>
        <v>324.49</v>
      </c>
      <c r="K78" s="376">
        <v>0</v>
      </c>
      <c r="L78" s="380">
        <f t="shared" si="15"/>
        <v>3900.51</v>
      </c>
      <c r="M78" s="18"/>
      <c r="N78" s="51"/>
      <c r="O78" s="49"/>
      <c r="P78" s="50"/>
      <c r="Q78" s="48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38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  <c r="ID78" s="13"/>
      <c r="IE78" s="13"/>
    </row>
    <row r="79" spans="1:239" ht="60" customHeight="1" x14ac:dyDescent="0.4">
      <c r="A79" s="8"/>
      <c r="B79" s="8"/>
      <c r="C79" s="8"/>
      <c r="D79" s="395" t="s">
        <v>314</v>
      </c>
      <c r="E79" s="382" t="s">
        <v>36</v>
      </c>
      <c r="F79" s="397">
        <v>15</v>
      </c>
      <c r="G79" s="380">
        <v>3543</v>
      </c>
      <c r="H79" s="376">
        <v>3543</v>
      </c>
      <c r="I79" s="375">
        <f>IFERROR(IF(ROUND((((H79/F79*30.4)-VLOOKUP((H79/F79*30.4),TARIFA,1))*VLOOKUP((H79/F79*30.4),TARIFA,3)+VLOOKUP((H79/F79*30.4),TARIFA,2)-VLOOKUP((H79/F79*30.4),SUBSIDIO,2))/30.4*F79,2)&lt;0,ROUND(-(((H79/F79*30.4)-VLOOKUP((H79/F79*30.4),TARIFA,1))*VLOOKUP((H79/F79*30.4),TARIFA,3)+VLOOKUP((H79/F79*30.4),TARIFA,2)-VLOOKUP((H79/F79*30.4),SUBSIDIO,2))/30.4*F79,2),0),0)</f>
        <v>0</v>
      </c>
      <c r="J79" s="375">
        <f>IFERROR(IF(ROUND((((H79/F79*30.4)-VLOOKUP((H79/F79*30.4),TARIFA,1))*VLOOKUP((H79/F79*30.4),TARIFA,3)+VLOOKUP((H79/F79*30.4),TARIFA,2)-VLOOKUP((H79/F79*30.4),SUBSIDIO,2))/30.4*F79,2)&gt;0,ROUND((((H79/F79*30.4)-VLOOKUP((H79/F79*30.4),TARIFA,1))*VLOOKUP((H79/F79*30.4),TARIFA,3)+VLOOKUP((H79/F79*30.4),TARIFA,2)-VLOOKUP((H79/F79*30.4),SUBSIDIO,2))/30.4*F79,2),0),0)</f>
        <v>142.91999999999999</v>
      </c>
      <c r="K79" s="376">
        <v>0</v>
      </c>
      <c r="L79" s="376">
        <f>H79+I79-J79-K79</f>
        <v>3400.08</v>
      </c>
      <c r="M79" s="18"/>
      <c r="O79" s="37"/>
      <c r="P79" s="47"/>
      <c r="Q79" s="48"/>
    </row>
    <row r="80" spans="1:239" ht="60" customHeight="1" x14ac:dyDescent="0.4">
      <c r="A80" s="8"/>
      <c r="B80" s="8"/>
      <c r="C80" s="8"/>
      <c r="D80" s="395" t="s">
        <v>369</v>
      </c>
      <c r="E80" s="379" t="s">
        <v>370</v>
      </c>
      <c r="F80" s="397">
        <v>15</v>
      </c>
      <c r="G80" s="380">
        <v>3052</v>
      </c>
      <c r="H80" s="376">
        <v>3052</v>
      </c>
      <c r="I80" s="375">
        <f t="shared" ref="I80" si="32">IFERROR(IF(ROUND((((H80/F80*30.4)-VLOOKUP((H80/F80*30.4),TARIFA,1))*VLOOKUP((H80/F80*30.4),TARIFA,3)+VLOOKUP((H80/F80*30.4),TARIFA,2)-VLOOKUP((H80/F80*30.4),SUBSIDIO,2))/30.4*F80,2)&lt;0,ROUND(-(((H80/F80*30.4)-VLOOKUP((H80/F80*30.4),TARIFA,1))*VLOOKUP((H80/F80*30.4),TARIFA,3)+VLOOKUP((H80/F80*30.4),TARIFA,2)-VLOOKUP((H80/F80*30.4),SUBSIDIO,2))/30.4*F80,2),0),0)</f>
        <v>0</v>
      </c>
      <c r="J80" s="375">
        <f t="shared" ref="J80" si="33">IFERROR(IF(ROUND((((H80/F80*30.4)-VLOOKUP((H80/F80*30.4),TARIFA,1))*VLOOKUP((H80/F80*30.4),TARIFA,3)+VLOOKUP((H80/F80*30.4),TARIFA,2)-VLOOKUP((H80/F80*30.4),SUBSIDIO,2))/30.4*F80,2)&gt;0,ROUND((((H80/F80*30.4)-VLOOKUP((H80/F80*30.4),TARIFA,1))*VLOOKUP((H80/F80*30.4),TARIFA,3)+VLOOKUP((H80/F80*30.4),TARIFA,2)-VLOOKUP((H80/F80*30.4),SUBSIDIO,2))/30.4*F80,2),0),0)</f>
        <v>51.49</v>
      </c>
      <c r="K80" s="376"/>
      <c r="L80" s="380">
        <f t="shared" ref="L80" si="34">H80+I80-J80-K80</f>
        <v>3000.51</v>
      </c>
      <c r="M80" s="18"/>
      <c r="O80" s="37"/>
      <c r="P80" s="47"/>
      <c r="Q80" s="48"/>
    </row>
    <row r="81" spans="1:17" ht="60" customHeight="1" x14ac:dyDescent="0.4">
      <c r="A81" s="8"/>
      <c r="B81" s="8"/>
      <c r="C81" s="8"/>
      <c r="D81" s="371" t="s">
        <v>315</v>
      </c>
      <c r="E81" s="371" t="s">
        <v>316</v>
      </c>
      <c r="F81" s="373">
        <v>15</v>
      </c>
      <c r="G81" s="380">
        <v>5503</v>
      </c>
      <c r="H81" s="376">
        <f>G81</f>
        <v>5503</v>
      </c>
      <c r="I81" s="375">
        <f t="shared" si="13"/>
        <v>0</v>
      </c>
      <c r="J81" s="375">
        <f t="shared" si="14"/>
        <v>502.4</v>
      </c>
      <c r="K81" s="376">
        <v>0</v>
      </c>
      <c r="L81" s="380">
        <f t="shared" si="15"/>
        <v>5000.6000000000004</v>
      </c>
      <c r="M81" s="18"/>
      <c r="P81" s="46"/>
      <c r="Q81" s="48"/>
    </row>
    <row r="82" spans="1:17" ht="45" hidden="1" customHeight="1" x14ac:dyDescent="0.35">
      <c r="D82" s="120"/>
      <c r="E82" s="123"/>
      <c r="F82" s="122"/>
      <c r="G82" s="118"/>
      <c r="H82" s="117"/>
      <c r="I82" s="116"/>
      <c r="J82" s="116"/>
      <c r="K82" s="117"/>
      <c r="L82" s="117"/>
      <c r="M82" s="18"/>
      <c r="P82" s="46"/>
      <c r="Q82" s="48"/>
    </row>
    <row r="83" spans="1:17" ht="45" hidden="1" customHeight="1" x14ac:dyDescent="0.35">
      <c r="D83" s="120"/>
      <c r="E83" s="123"/>
      <c r="F83" s="122"/>
      <c r="G83" s="124"/>
      <c r="H83" s="117"/>
      <c r="I83" s="116"/>
      <c r="J83" s="116"/>
      <c r="K83" s="117">
        <v>0</v>
      </c>
      <c r="L83" s="117"/>
      <c r="M83" s="18"/>
      <c r="P83" s="46"/>
      <c r="Q83" s="48"/>
    </row>
    <row r="84" spans="1:17" ht="38.1" customHeight="1" x14ac:dyDescent="0.25">
      <c r="D84" s="109"/>
      <c r="E84" s="110"/>
      <c r="F84" s="111"/>
      <c r="G84" s="112">
        <f>SUM(G52:G81)</f>
        <v>95118</v>
      </c>
      <c r="H84" s="112">
        <f t="shared" ref="H84:L84" si="35">SUM(H52:H81)</f>
        <v>95118</v>
      </c>
      <c r="I84" s="112">
        <f t="shared" si="35"/>
        <v>15.06</v>
      </c>
      <c r="J84" s="112">
        <f t="shared" si="35"/>
        <v>5223.2899999999972</v>
      </c>
      <c r="K84" s="112">
        <f t="shared" si="35"/>
        <v>0</v>
      </c>
      <c r="L84" s="112">
        <f t="shared" si="35"/>
        <v>89909.77</v>
      </c>
      <c r="M84" s="70">
        <f>L81+L79+L78+L77+L75+L74+L73+L72+L71+L70+L69+L68+L67+L66+L65+L64+L63+L61+L59+L58+L56+L55+L53+L52</f>
        <v>83908.750000000015</v>
      </c>
      <c r="P84" s="46"/>
      <c r="Q84" s="48"/>
    </row>
    <row r="85" spans="1:17" ht="38.1" customHeight="1" x14ac:dyDescent="0.4">
      <c r="D85" s="475"/>
      <c r="E85" s="475"/>
      <c r="F85" s="475"/>
      <c r="G85" s="475"/>
      <c r="H85" s="475"/>
      <c r="I85" s="475"/>
      <c r="J85" s="475"/>
      <c r="K85" s="475"/>
      <c r="L85" s="475"/>
      <c r="M85" s="475"/>
      <c r="P85" s="46"/>
      <c r="Q85" s="48"/>
    </row>
    <row r="86" spans="1:17" ht="38.1" customHeight="1" x14ac:dyDescent="0.4">
      <c r="D86" s="475"/>
      <c r="E86" s="475"/>
      <c r="F86" s="475"/>
      <c r="G86" s="475"/>
      <c r="H86" s="475"/>
      <c r="I86" s="475"/>
      <c r="J86" s="475"/>
      <c r="K86" s="475"/>
      <c r="L86" s="475"/>
      <c r="M86" s="475"/>
      <c r="P86" s="46"/>
      <c r="Q86" s="48"/>
    </row>
    <row r="87" spans="1:17" ht="38.1" customHeight="1" x14ac:dyDescent="0.4">
      <c r="D87" s="471"/>
      <c r="E87" s="471"/>
      <c r="F87" s="471"/>
      <c r="G87" s="471"/>
      <c r="H87" s="471"/>
      <c r="I87" s="471"/>
      <c r="J87" s="471"/>
      <c r="K87" s="471"/>
      <c r="L87" s="471"/>
      <c r="M87" s="471"/>
      <c r="P87" s="46"/>
      <c r="Q87" s="48"/>
    </row>
    <row r="88" spans="1:17" ht="38.1" customHeight="1" x14ac:dyDescent="0.4">
      <c r="D88" s="471"/>
      <c r="E88" s="471"/>
      <c r="F88" s="471"/>
      <c r="G88" s="471"/>
      <c r="H88" s="471"/>
      <c r="I88" s="471"/>
      <c r="J88" s="471"/>
      <c r="K88" s="471"/>
      <c r="L88" s="471"/>
      <c r="M88" s="471"/>
      <c r="P88" s="46"/>
      <c r="Q88" s="48"/>
    </row>
    <row r="89" spans="1:17" ht="38.1" customHeight="1" x14ac:dyDescent="0.3">
      <c r="D89" s="354"/>
      <c r="E89" s="354"/>
      <c r="F89" s="355" t="s">
        <v>3</v>
      </c>
      <c r="G89" s="472" t="s">
        <v>0</v>
      </c>
      <c r="H89" s="473"/>
      <c r="I89" s="474"/>
      <c r="J89" s="356"/>
      <c r="K89" s="357"/>
      <c r="L89" s="355"/>
      <c r="M89" s="358"/>
      <c r="P89" s="46"/>
      <c r="Q89" s="48"/>
    </row>
    <row r="90" spans="1:17" ht="38.1" customHeight="1" x14ac:dyDescent="0.3">
      <c r="D90" s="358"/>
      <c r="E90" s="355"/>
      <c r="F90" s="359" t="s">
        <v>4</v>
      </c>
      <c r="G90" s="360" t="s">
        <v>1</v>
      </c>
      <c r="H90" s="360" t="s">
        <v>121</v>
      </c>
      <c r="I90" s="361" t="s">
        <v>124</v>
      </c>
      <c r="J90" s="361"/>
      <c r="K90" s="355" t="s">
        <v>137</v>
      </c>
      <c r="L90" s="355" t="s">
        <v>123</v>
      </c>
      <c r="M90" s="362"/>
      <c r="P90" s="46"/>
      <c r="Q90" s="48"/>
    </row>
    <row r="91" spans="1:17" ht="38.1" customHeight="1" x14ac:dyDescent="0.3">
      <c r="D91" s="360"/>
      <c r="E91" s="362" t="s">
        <v>8</v>
      </c>
      <c r="F91" s="355"/>
      <c r="G91" s="355" t="s">
        <v>6</v>
      </c>
      <c r="H91" s="355" t="s">
        <v>123</v>
      </c>
      <c r="I91" s="359" t="s">
        <v>125</v>
      </c>
      <c r="J91" s="359" t="s">
        <v>126</v>
      </c>
      <c r="K91" s="355" t="s">
        <v>139</v>
      </c>
      <c r="L91" s="355" t="s">
        <v>129</v>
      </c>
      <c r="M91" s="360" t="s">
        <v>132</v>
      </c>
      <c r="P91" s="46"/>
      <c r="Q91" s="48"/>
    </row>
    <row r="92" spans="1:17" ht="38.1" customHeight="1" x14ac:dyDescent="0.3">
      <c r="D92" s="360" t="s">
        <v>66</v>
      </c>
      <c r="E92" s="360" t="s">
        <v>7</v>
      </c>
      <c r="F92" s="360"/>
      <c r="G92" s="360"/>
      <c r="H92" s="360"/>
      <c r="I92" s="361"/>
      <c r="J92" s="363"/>
      <c r="K92" s="364"/>
      <c r="L92" s="360"/>
      <c r="M92" s="360"/>
      <c r="P92" s="46"/>
      <c r="Q92" s="48"/>
    </row>
    <row r="93" spans="1:17" ht="60" customHeight="1" x14ac:dyDescent="0.4">
      <c r="D93" s="365" t="s">
        <v>161</v>
      </c>
      <c r="E93" s="366"/>
      <c r="F93" s="367"/>
      <c r="G93" s="368"/>
      <c r="H93" s="369"/>
      <c r="I93" s="370"/>
      <c r="J93" s="370"/>
      <c r="K93" s="369"/>
      <c r="L93" s="369"/>
      <c r="M93" s="369"/>
      <c r="P93" s="46"/>
      <c r="Q93" s="48"/>
    </row>
    <row r="94" spans="1:17" ht="60" customHeight="1" x14ac:dyDescent="0.4">
      <c r="D94" s="371" t="s">
        <v>287</v>
      </c>
      <c r="E94" s="372" t="s">
        <v>162</v>
      </c>
      <c r="F94" s="373">
        <v>15</v>
      </c>
      <c r="G94" s="374">
        <v>3888</v>
      </c>
      <c r="H94" s="374">
        <v>3888</v>
      </c>
      <c r="I94" s="375">
        <f>IFERROR(IF(ROUND((((H94/F94*30.4)-VLOOKUP((H94/F94*30.4),TARIFA,1))*VLOOKUP((H94/F94*30.4),TARIFA,3)+VLOOKUP((H94/F94*30.4),TARIFA,2)-VLOOKUP((H94/F94*30.4),SUBSIDIO,2))/30.4*F94,2)&lt;0,ROUND(-(((H94/F94*30.4)-VLOOKUP((H94/F94*30.4),TARIFA,1))*VLOOKUP((H94/F94*30.4),TARIFA,3)+VLOOKUP((H94/F94*30.4),TARIFA,2)-VLOOKUP((H94/F94*30.4),SUBSIDIO,2))/30.4*F94,2),0),0)</f>
        <v>0</v>
      </c>
      <c r="J94" s="376">
        <f>IFERROR(IF(ROUND((((H94/F94*30.4)-VLOOKUP((H94/F94*30.4),TARIFA,1))*VLOOKUP((H94/F94*30.4),TARIFA,3)+VLOOKUP((H94/F94*30.4),TARIFA,2)-VLOOKUP((H94/F94*30.4),SUBSIDIO,2))/30.4*F94,2)&gt;0,ROUND((((H94/F94*30.4)-VLOOKUP((H94/F94*30.4),TARIFA,1))*VLOOKUP((H94/F94*30.4),TARIFA,3)+VLOOKUP((H94/F94*30.4),TARIFA,2)-VLOOKUP((H94/F94*30.4),SUBSIDIO,2))/30.4*F94,2),0),0)</f>
        <v>287.83</v>
      </c>
      <c r="K94" s="376">
        <v>0</v>
      </c>
      <c r="L94" s="376">
        <f t="shared" ref="L94" si="36">H94+I94-J94</f>
        <v>3600.17</v>
      </c>
      <c r="M94" s="376"/>
      <c r="P94" s="46"/>
      <c r="Q94" s="48"/>
    </row>
    <row r="95" spans="1:17" ht="60" hidden="1" customHeight="1" x14ac:dyDescent="0.4">
      <c r="D95" s="377"/>
      <c r="E95" s="378"/>
      <c r="F95" s="373"/>
      <c r="G95" s="374"/>
      <c r="H95" s="374"/>
      <c r="I95" s="375"/>
      <c r="J95" s="376"/>
      <c r="K95" s="376"/>
      <c r="L95" s="376"/>
      <c r="M95" s="376"/>
      <c r="P95" s="46"/>
      <c r="Q95" s="48"/>
    </row>
    <row r="96" spans="1:17" ht="60" hidden="1" customHeight="1" x14ac:dyDescent="0.4">
      <c r="D96" s="379"/>
      <c r="E96" s="378"/>
      <c r="F96" s="373">
        <v>15</v>
      </c>
      <c r="G96" s="380">
        <v>0</v>
      </c>
      <c r="H96" s="376">
        <v>0</v>
      </c>
      <c r="I96" s="375"/>
      <c r="J96" s="375">
        <f>IFERROR(IF(ROUND((((H96/F96*30.4)-VLOOKUP((H96/F96*30.4),TARIFA,1))*VLOOKUP((H96/F96*30.4),TARIFA,3)+VLOOKUP((H96/F96*30.4),TARIFA,2)-VLOOKUP((H96/F96*30.4),SUBSIDIO,2))/30.4*F96,2)&gt;0,ROUND((((H96/F96*30.4)-VLOOKUP((H96/F96*30.4),TARIFA,1))*VLOOKUP((H96/F96*30.4),TARIFA,3)+VLOOKUP((H96/F96*30.4),TARIFA,2)-VLOOKUP((H96/F96*30.4),SUBSIDIO,2))/30.4*F96,2),0),0)</f>
        <v>0</v>
      </c>
      <c r="K96" s="376"/>
      <c r="L96" s="376">
        <f t="shared" ref="L96" si="37">H96+I96-J96-K96</f>
        <v>0</v>
      </c>
      <c r="M96" s="376"/>
      <c r="P96" s="46"/>
      <c r="Q96" s="48"/>
    </row>
    <row r="97" spans="4:17" ht="60" customHeight="1" x14ac:dyDescent="0.4">
      <c r="D97" s="381" t="s">
        <v>163</v>
      </c>
      <c r="E97" s="378"/>
      <c r="F97" s="373"/>
      <c r="G97" s="380"/>
      <c r="H97" s="376"/>
      <c r="I97" s="375"/>
      <c r="J97" s="375"/>
      <c r="K97" s="376"/>
      <c r="L97" s="376"/>
      <c r="M97" s="376"/>
      <c r="P97" s="46"/>
      <c r="Q97" s="48"/>
    </row>
    <row r="98" spans="4:17" ht="60" customHeight="1" x14ac:dyDescent="0.4">
      <c r="D98" s="382" t="s">
        <v>203</v>
      </c>
      <c r="E98" s="378" t="s">
        <v>164</v>
      </c>
      <c r="F98" s="373">
        <v>15</v>
      </c>
      <c r="G98" s="380">
        <v>3052</v>
      </c>
      <c r="H98" s="376">
        <v>3052</v>
      </c>
      <c r="I98" s="375">
        <f t="shared" ref="I98" si="38">IFERROR(IF(ROUND((((H98/F98*30.4)-VLOOKUP((H98/F98*30.4),TARIFA,1))*VLOOKUP((H98/F98*30.4),TARIFA,3)+VLOOKUP((H98/F98*30.4),TARIFA,2)-VLOOKUP((H98/F98*30.4),SUBSIDIO,2))/30.4*F98,2)&lt;0,ROUND(-(((H98/F98*30.4)-VLOOKUP((H98/F98*30.4),TARIFA,1))*VLOOKUP((H98/F98*30.4),TARIFA,3)+VLOOKUP((H98/F98*30.4),TARIFA,2)-VLOOKUP((H98/F98*30.4),SUBSIDIO,2))/30.4*F98,2),0),0)</f>
        <v>0</v>
      </c>
      <c r="J98" s="375">
        <f t="shared" ref="J98" si="39">IFERROR(IF(ROUND((((H98/F98*30.4)-VLOOKUP((H98/F98*30.4),TARIFA,1))*VLOOKUP((H98/F98*30.4),TARIFA,3)+VLOOKUP((H98/F98*30.4),TARIFA,2)-VLOOKUP((H98/F98*30.4),SUBSIDIO,2))/30.4*F98,2)&gt;0,ROUND((((H98/F98*30.4)-VLOOKUP((H98/F98*30.4),TARIFA,1))*VLOOKUP((H98/F98*30.4),TARIFA,3)+VLOOKUP((H98/F98*30.4),TARIFA,2)-VLOOKUP((H98/F98*30.4),SUBSIDIO,2))/30.4*F98,2),0),0)</f>
        <v>51.49</v>
      </c>
      <c r="K98" s="376"/>
      <c r="L98" s="376">
        <f t="shared" ref="L98" si="40">H98+I98-J98-K98</f>
        <v>3000.51</v>
      </c>
      <c r="M98" s="376"/>
      <c r="P98" s="46"/>
      <c r="Q98" s="48"/>
    </row>
    <row r="99" spans="4:17" ht="60" customHeight="1" x14ac:dyDescent="0.4">
      <c r="D99" s="377" t="s">
        <v>254</v>
      </c>
      <c r="E99" s="378"/>
      <c r="F99" s="373"/>
      <c r="G99" s="376"/>
      <c r="H99" s="376"/>
      <c r="I99" s="375"/>
      <c r="J99" s="375"/>
      <c r="K99" s="376"/>
      <c r="L99" s="376"/>
      <c r="M99" s="376"/>
      <c r="P99" s="46"/>
      <c r="Q99" s="48"/>
    </row>
    <row r="100" spans="4:17" ht="60" customHeight="1" x14ac:dyDescent="0.4">
      <c r="D100" s="379" t="s">
        <v>255</v>
      </c>
      <c r="E100" s="378" t="s">
        <v>256</v>
      </c>
      <c r="F100" s="373">
        <v>15</v>
      </c>
      <c r="G100" s="374">
        <v>3888</v>
      </c>
      <c r="H100" s="374">
        <v>3888</v>
      </c>
      <c r="I100" s="375">
        <f>IFERROR(IF(ROUND((((H100/F100*30.4)-VLOOKUP((H100/F100*30.4),TARIFA,1))*VLOOKUP((H100/F100*30.4),TARIFA,3)+VLOOKUP((H100/F100*30.4),TARIFA,2)-VLOOKUP((H100/F100*30.4),SUBSIDIO,2))/30.4*F100,2)&lt;0,ROUND(-(((H100/F100*30.4)-VLOOKUP((H100/F100*30.4),TARIFA,1))*VLOOKUP((H100/F100*30.4),TARIFA,3)+VLOOKUP((H100/F100*30.4),TARIFA,2)-VLOOKUP((H100/F100*30.4),SUBSIDIO,2))/30.4*F100,2),0),0)</f>
        <v>0</v>
      </c>
      <c r="J100" s="376">
        <f>IFERROR(IF(ROUND((((H100/F100*30.4)-VLOOKUP((H100/F100*30.4),TARIFA,1))*VLOOKUP((H100/F100*30.4),TARIFA,3)+VLOOKUP((H100/F100*30.4),TARIFA,2)-VLOOKUP((H100/F100*30.4),SUBSIDIO,2))/30.4*F100,2)&gt;0,ROUND((((H100/F100*30.4)-VLOOKUP((H100/F100*30.4),TARIFA,1))*VLOOKUP((H100/F100*30.4),TARIFA,3)+VLOOKUP((H100/F100*30.4),TARIFA,2)-VLOOKUP((H100/F100*30.4),SUBSIDIO,2))/30.4*F100,2),0),0)</f>
        <v>287.83</v>
      </c>
      <c r="K100" s="376">
        <v>0</v>
      </c>
      <c r="L100" s="376">
        <f t="shared" ref="L100" si="41">H100+I100-J100</f>
        <v>3600.17</v>
      </c>
      <c r="M100" s="376"/>
      <c r="P100" s="46"/>
      <c r="Q100" s="48"/>
    </row>
    <row r="101" spans="4:17" ht="60" customHeight="1" x14ac:dyDescent="0.4">
      <c r="D101" s="383" t="s">
        <v>140</v>
      </c>
      <c r="E101" s="378"/>
      <c r="F101" s="373"/>
      <c r="G101" s="374"/>
      <c r="H101" s="374"/>
      <c r="I101" s="375"/>
      <c r="J101" s="376"/>
      <c r="K101" s="376"/>
      <c r="L101" s="376"/>
      <c r="M101" s="376"/>
      <c r="P101" s="46"/>
      <c r="Q101" s="48"/>
    </row>
    <row r="102" spans="4:17" ht="60" customHeight="1" x14ac:dyDescent="0.4">
      <c r="D102" s="379" t="s">
        <v>257</v>
      </c>
      <c r="E102" s="378" t="s">
        <v>220</v>
      </c>
      <c r="F102" s="373">
        <v>15</v>
      </c>
      <c r="G102" s="380">
        <v>3299</v>
      </c>
      <c r="H102" s="376">
        <v>3299</v>
      </c>
      <c r="I102" s="375"/>
      <c r="J102" s="375">
        <f>IFERROR(IF(ROUND((((H102/F102*30.4)-VLOOKUP((H102/F102*30.4),TARIFA,1))*VLOOKUP((H102/F102*30.4),TARIFA,3)+VLOOKUP((H102/F102*30.4),TARIFA,2)-VLOOKUP((H102/F102*30.4),SUBSIDIO,2))/30.4*F102,2)&gt;0,ROUND((((H102/F102*30.4)-VLOOKUP((H102/F102*30.4),TARIFA,1))*VLOOKUP((H102/F102*30.4),TARIFA,3)+VLOOKUP((H102/F102*30.4),TARIFA,2)-VLOOKUP((H102/F102*30.4),SUBSIDIO,2))/30.4*F102,2),0),0)</f>
        <v>98.64</v>
      </c>
      <c r="K102" s="376"/>
      <c r="L102" s="376">
        <f t="shared" ref="L102" si="42">H102+I102-J102-K102</f>
        <v>3200.36</v>
      </c>
      <c r="M102" s="376"/>
      <c r="P102" s="46"/>
      <c r="Q102" s="48"/>
    </row>
    <row r="103" spans="4:17" ht="60" customHeight="1" x14ac:dyDescent="0.4">
      <c r="D103" s="383" t="s">
        <v>165</v>
      </c>
      <c r="E103" s="372"/>
      <c r="F103" s="373"/>
      <c r="G103" s="380"/>
      <c r="H103" s="376"/>
      <c r="I103" s="375"/>
      <c r="J103" s="375"/>
      <c r="K103" s="376"/>
      <c r="L103" s="376"/>
      <c r="M103" s="376"/>
      <c r="P103" s="46"/>
      <c r="Q103" s="48"/>
    </row>
    <row r="104" spans="4:17" ht="60" hidden="1" customHeight="1" x14ac:dyDescent="0.4">
      <c r="D104" s="371"/>
      <c r="E104" s="371"/>
      <c r="F104" s="373">
        <v>0</v>
      </c>
      <c r="G104" s="376">
        <v>0</v>
      </c>
      <c r="H104" s="376">
        <v>0</v>
      </c>
      <c r="I104" s="375">
        <v>0</v>
      </c>
      <c r="J104" s="375"/>
      <c r="K104" s="376"/>
      <c r="L104" s="376">
        <v>0</v>
      </c>
      <c r="M104" s="376"/>
      <c r="P104" s="46"/>
      <c r="Q104" s="48"/>
    </row>
    <row r="105" spans="4:17" ht="60" customHeight="1" x14ac:dyDescent="0.4">
      <c r="D105" s="371" t="s">
        <v>332</v>
      </c>
      <c r="E105" s="371" t="s">
        <v>166</v>
      </c>
      <c r="F105" s="373">
        <v>15</v>
      </c>
      <c r="G105" s="376">
        <v>2487</v>
      </c>
      <c r="H105" s="376">
        <v>2487</v>
      </c>
      <c r="I105" s="375">
        <f>IFERROR(IF(ROUND((((H105/F105*30.4)-VLOOKUP((H105/F105*30.4),TARIFA,1))*VLOOKUP((H105/F105*30.4),TARIFA,3)+VLOOKUP((H105/F105*30.4),TARIFA,2)-VLOOKUP((H105/F105*30.4),SUBSIDIO,2))/30.4*F105,2)&lt;0,ROUND(-(((H105/F105*30.4)-VLOOKUP((H105/F105*30.4),TARIFA,1))*VLOOKUP((H105/F105*30.4),TARIFA,3)+VLOOKUP((H105/F105*30.4),TARIFA,2)-VLOOKUP((H105/F105*30.4),SUBSIDIO,2))/30.4*F105,2),0),0)</f>
        <v>15.38</v>
      </c>
      <c r="J105" s="375">
        <f>IFERROR(IF(ROUND((((H105/F105*30.4)-VLOOKUP((H105/F105*30.4),TARIFA,1))*VLOOKUP((H105/F105*30.4),TARIFA,3)+VLOOKUP((H105/F105*30.4),TARIFA,2)-VLOOKUP((H105/F105*30.4),SUBSIDIO,2))/30.4*F105,2)&gt;0,ROUND((((H105/F105*30.4)-VLOOKUP((H105/F105*30.4),TARIFA,1))*VLOOKUP((H105/F105*30.4),TARIFA,3)+VLOOKUP((H105/F105*30.4),TARIFA,2)-VLOOKUP((H105/F105*30.4),SUBSIDIO,2))/30.4*F105,2),0),0)</f>
        <v>0</v>
      </c>
      <c r="K105" s="376"/>
      <c r="L105" s="376">
        <f t="shared" ref="L105" si="43">H105+I105-J105-K105</f>
        <v>2502.38</v>
      </c>
      <c r="M105" s="376"/>
      <c r="P105" s="46"/>
      <c r="Q105" s="48"/>
    </row>
    <row r="106" spans="4:17" ht="60" customHeight="1" x14ac:dyDescent="0.4">
      <c r="D106" s="383" t="s">
        <v>265</v>
      </c>
      <c r="E106" s="371"/>
      <c r="F106" s="373"/>
      <c r="G106" s="376"/>
      <c r="H106" s="376"/>
      <c r="I106" s="375"/>
      <c r="J106" s="375"/>
      <c r="K106" s="376"/>
      <c r="L106" s="376"/>
      <c r="M106" s="376"/>
      <c r="P106" s="46"/>
      <c r="Q106" s="48"/>
    </row>
    <row r="107" spans="4:17" ht="60" customHeight="1" x14ac:dyDescent="0.4">
      <c r="D107" s="371" t="s">
        <v>266</v>
      </c>
      <c r="E107" s="371" t="s">
        <v>353</v>
      </c>
      <c r="F107" s="373">
        <v>15</v>
      </c>
      <c r="G107" s="374">
        <v>3888</v>
      </c>
      <c r="H107" s="374">
        <v>3888</v>
      </c>
      <c r="I107" s="375">
        <f>IFERROR(IF(ROUND((((H107/F107*30.4)-VLOOKUP((H107/F107*30.4),TARIFA,1))*VLOOKUP((H107/F107*30.4),TARIFA,3)+VLOOKUP((H107/F107*30.4),TARIFA,2)-VLOOKUP((H107/F107*30.4),SUBSIDIO,2))/30.4*F107,2)&lt;0,ROUND(-(((H107/F107*30.4)-VLOOKUP((H107/F107*30.4),TARIFA,1))*VLOOKUP((H107/F107*30.4),TARIFA,3)+VLOOKUP((H107/F107*30.4),TARIFA,2)-VLOOKUP((H107/F107*30.4),SUBSIDIO,2))/30.4*F107,2),0),0)</f>
        <v>0</v>
      </c>
      <c r="J107" s="376">
        <f>IFERROR(IF(ROUND((((H107/F107*30.4)-VLOOKUP((H107/F107*30.4),TARIFA,1))*VLOOKUP((H107/F107*30.4),TARIFA,3)+VLOOKUP((H107/F107*30.4),TARIFA,2)-VLOOKUP((H107/F107*30.4),SUBSIDIO,2))/30.4*F107,2)&gt;0,ROUND((((H107/F107*30.4)-VLOOKUP((H107/F107*30.4),TARIFA,1))*VLOOKUP((H107/F107*30.4),TARIFA,3)+VLOOKUP((H107/F107*30.4),TARIFA,2)-VLOOKUP((H107/F107*30.4),SUBSIDIO,2))/30.4*F107,2),0),0)</f>
        <v>287.83</v>
      </c>
      <c r="K107" s="376">
        <v>0</v>
      </c>
      <c r="L107" s="376">
        <f t="shared" ref="L107:L108" si="44">H107+I107-J107</f>
        <v>3600.17</v>
      </c>
      <c r="M107" s="376"/>
      <c r="P107" s="46"/>
      <c r="Q107" s="48"/>
    </row>
    <row r="108" spans="4:17" ht="60" customHeight="1" x14ac:dyDescent="0.4">
      <c r="D108" s="371" t="s">
        <v>367</v>
      </c>
      <c r="E108" s="371" t="s">
        <v>368</v>
      </c>
      <c r="F108" s="373">
        <v>15</v>
      </c>
      <c r="G108" s="374">
        <v>4101</v>
      </c>
      <c r="H108" s="374">
        <v>4101</v>
      </c>
      <c r="I108" s="116"/>
      <c r="J108" s="376">
        <f>IFERROR(IF(ROUND((((H108/F108*30.4)-VLOOKUP((H108/F108*30.4),TARIFA,1))*VLOOKUP((H108/F108*30.4),TARIFA,3)+VLOOKUP((H108/F108*30.4),TARIFA,2)-VLOOKUP((H108/F108*30.4),SUBSIDIO,2))/30.4*F108,2)&gt;0,ROUND((((H108/F108*30.4)-VLOOKUP((H108/F108*30.4),TARIFA,1))*VLOOKUP((H108/F108*30.4),TARIFA,3)+VLOOKUP((H108/F108*30.4),TARIFA,2)-VLOOKUP((H108/F108*30.4),SUBSIDIO,2))/30.4*F108,2),0),0)</f>
        <v>311</v>
      </c>
      <c r="K108" s="117"/>
      <c r="L108" s="376">
        <f t="shared" si="44"/>
        <v>3790</v>
      </c>
      <c r="M108" s="376"/>
      <c r="P108" s="46"/>
      <c r="Q108" s="48"/>
    </row>
    <row r="109" spans="4:17" ht="60" customHeight="1" x14ac:dyDescent="0.4">
      <c r="D109" s="371" t="s">
        <v>376</v>
      </c>
      <c r="E109" s="371" t="s">
        <v>377</v>
      </c>
      <c r="F109" s="373">
        <v>15</v>
      </c>
      <c r="G109" s="380">
        <v>5503</v>
      </c>
      <c r="H109" s="376">
        <f>G109</f>
        <v>5503</v>
      </c>
      <c r="I109" s="375">
        <f t="shared" ref="I109" si="45">IFERROR(IF(ROUND((((H109/F109*30.4)-VLOOKUP((H109/F109*30.4),TARIFA,1))*VLOOKUP((H109/F109*30.4),TARIFA,3)+VLOOKUP((H109/F109*30.4),TARIFA,2)-VLOOKUP((H109/F109*30.4),SUBSIDIO,2))/30.4*F109,2)&lt;0,ROUND(-(((H109/F109*30.4)-VLOOKUP((H109/F109*30.4),TARIFA,1))*VLOOKUP((H109/F109*30.4),TARIFA,3)+VLOOKUP((H109/F109*30.4),TARIFA,2)-VLOOKUP((H109/F109*30.4),SUBSIDIO,2))/30.4*F109,2),0),0)</f>
        <v>0</v>
      </c>
      <c r="J109" s="375">
        <f t="shared" ref="J109" si="46">IFERROR(IF(ROUND((((H109/F109*30.4)-VLOOKUP((H109/F109*30.4),TARIFA,1))*VLOOKUP((H109/F109*30.4),TARIFA,3)+VLOOKUP((H109/F109*30.4),TARIFA,2)-VLOOKUP((H109/F109*30.4),SUBSIDIO,2))/30.4*F109,2)&gt;0,ROUND((((H109/F109*30.4)-VLOOKUP((H109/F109*30.4),TARIFA,1))*VLOOKUP((H109/F109*30.4),TARIFA,3)+VLOOKUP((H109/F109*30.4),TARIFA,2)-VLOOKUP((H109/F109*30.4),SUBSIDIO,2))/30.4*F109,2),0),0)</f>
        <v>502.4</v>
      </c>
      <c r="K109" s="376">
        <v>0</v>
      </c>
      <c r="L109" s="380">
        <f t="shared" ref="L109" si="47">H109+I109-J109-K109</f>
        <v>5000.6000000000004</v>
      </c>
      <c r="M109" s="376"/>
      <c r="P109" s="46"/>
      <c r="Q109" s="48"/>
    </row>
    <row r="110" spans="4:17" ht="60" customHeight="1" x14ac:dyDescent="0.4">
      <c r="D110" s="383" t="s">
        <v>167</v>
      </c>
      <c r="E110" s="371"/>
      <c r="F110" s="373"/>
      <c r="G110" s="380"/>
      <c r="H110" s="376"/>
      <c r="I110" s="375"/>
      <c r="J110" s="375"/>
      <c r="K110" s="376"/>
      <c r="L110" s="376"/>
      <c r="M110" s="376"/>
      <c r="P110" s="46"/>
      <c r="Q110" s="48"/>
    </row>
    <row r="111" spans="4:17" ht="60" customHeight="1" x14ac:dyDescent="0.4">
      <c r="D111" s="371" t="s">
        <v>173</v>
      </c>
      <c r="E111" s="371" t="s">
        <v>30</v>
      </c>
      <c r="F111" s="373">
        <v>15</v>
      </c>
      <c r="G111" s="380">
        <v>3052</v>
      </c>
      <c r="H111" s="376">
        <v>3052</v>
      </c>
      <c r="I111" s="375">
        <f t="shared" ref="I111" si="48">IFERROR(IF(ROUND((((H111/F111*30.4)-VLOOKUP((H111/F111*30.4),TARIFA,1))*VLOOKUP((H111/F111*30.4),TARIFA,3)+VLOOKUP((H111/F111*30.4),TARIFA,2)-VLOOKUP((H111/F111*30.4),SUBSIDIO,2))/30.4*F111,2)&lt;0,ROUND(-(((H111/F111*30.4)-VLOOKUP((H111/F111*30.4),TARIFA,1))*VLOOKUP((H111/F111*30.4),TARIFA,3)+VLOOKUP((H111/F111*30.4),TARIFA,2)-VLOOKUP((H111/F111*30.4),SUBSIDIO,2))/30.4*F111,2),0),0)</f>
        <v>0</v>
      </c>
      <c r="J111" s="375">
        <f t="shared" ref="J111" si="49">IFERROR(IF(ROUND((((H111/F111*30.4)-VLOOKUP((H111/F111*30.4),TARIFA,1))*VLOOKUP((H111/F111*30.4),TARIFA,3)+VLOOKUP((H111/F111*30.4),TARIFA,2)-VLOOKUP((H111/F111*30.4),SUBSIDIO,2))/30.4*F111,2)&gt;0,ROUND((((H111/F111*30.4)-VLOOKUP((H111/F111*30.4),TARIFA,1))*VLOOKUP((H111/F111*30.4),TARIFA,3)+VLOOKUP((H111/F111*30.4),TARIFA,2)-VLOOKUP((H111/F111*30.4),SUBSIDIO,2))/30.4*F111,2),0),0)</f>
        <v>51.49</v>
      </c>
      <c r="K111" s="376"/>
      <c r="L111" s="380">
        <f t="shared" ref="L111" si="50">H111+I111-J111-K111</f>
        <v>3000.51</v>
      </c>
      <c r="M111" s="376"/>
      <c r="P111" s="46"/>
      <c r="Q111" s="48"/>
    </row>
    <row r="112" spans="4:17" ht="60" customHeight="1" x14ac:dyDescent="0.4">
      <c r="D112" s="371" t="s">
        <v>168</v>
      </c>
      <c r="E112" s="371" t="s">
        <v>30</v>
      </c>
      <c r="F112" s="373">
        <v>15</v>
      </c>
      <c r="G112" s="380">
        <v>3052</v>
      </c>
      <c r="H112" s="376">
        <v>3052</v>
      </c>
      <c r="I112" s="375">
        <f t="shared" ref="I112" si="51">IFERROR(IF(ROUND((((H112/F112*30.4)-VLOOKUP((H112/F112*30.4),TARIFA,1))*VLOOKUP((H112/F112*30.4),TARIFA,3)+VLOOKUP((H112/F112*30.4),TARIFA,2)-VLOOKUP((H112/F112*30.4),SUBSIDIO,2))/30.4*F112,2)&lt;0,ROUND(-(((H112/F112*30.4)-VLOOKUP((H112/F112*30.4),TARIFA,1))*VLOOKUP((H112/F112*30.4),TARIFA,3)+VLOOKUP((H112/F112*30.4),TARIFA,2)-VLOOKUP((H112/F112*30.4),SUBSIDIO,2))/30.4*F112,2),0),0)</f>
        <v>0</v>
      </c>
      <c r="J112" s="375">
        <f t="shared" ref="J112" si="52">IFERROR(IF(ROUND((((H112/F112*30.4)-VLOOKUP((H112/F112*30.4),TARIFA,1))*VLOOKUP((H112/F112*30.4),TARIFA,3)+VLOOKUP((H112/F112*30.4),TARIFA,2)-VLOOKUP((H112/F112*30.4),SUBSIDIO,2))/30.4*F112,2)&gt;0,ROUND((((H112/F112*30.4)-VLOOKUP((H112/F112*30.4),TARIFA,1))*VLOOKUP((H112/F112*30.4),TARIFA,3)+VLOOKUP((H112/F112*30.4),TARIFA,2)-VLOOKUP((H112/F112*30.4),SUBSIDIO,2))/30.4*F112,2),0),0)</f>
        <v>51.49</v>
      </c>
      <c r="K112" s="376"/>
      <c r="L112" s="380">
        <f t="shared" ref="L112" si="53">H112+I112-J112-K112</f>
        <v>3000.51</v>
      </c>
      <c r="M112" s="376"/>
      <c r="P112" s="46"/>
      <c r="Q112" s="48"/>
    </row>
    <row r="113" spans="4:17" ht="60" hidden="1" customHeight="1" x14ac:dyDescent="0.4">
      <c r="D113" s="371"/>
      <c r="E113" s="371"/>
      <c r="F113" s="373"/>
      <c r="G113" s="376"/>
      <c r="H113" s="376"/>
      <c r="I113" s="375"/>
      <c r="J113" s="375"/>
      <c r="K113" s="376"/>
      <c r="L113" s="376"/>
      <c r="M113" s="376"/>
      <c r="P113" s="46"/>
      <c r="Q113" s="48"/>
    </row>
    <row r="114" spans="4:17" ht="60" customHeight="1" x14ac:dyDescent="0.4">
      <c r="D114" s="371" t="s">
        <v>374</v>
      </c>
      <c r="E114" s="371" t="s">
        <v>375</v>
      </c>
      <c r="F114" s="373">
        <v>15</v>
      </c>
      <c r="G114" s="380">
        <v>3052</v>
      </c>
      <c r="H114" s="376">
        <v>3052</v>
      </c>
      <c r="I114" s="375">
        <f t="shared" ref="I114" si="54">IFERROR(IF(ROUND((((H114/F114*30.4)-VLOOKUP((H114/F114*30.4),TARIFA,1))*VLOOKUP((H114/F114*30.4),TARIFA,3)+VLOOKUP((H114/F114*30.4),TARIFA,2)-VLOOKUP((H114/F114*30.4),SUBSIDIO,2))/30.4*F114,2)&lt;0,ROUND(-(((H114/F114*30.4)-VLOOKUP((H114/F114*30.4),TARIFA,1))*VLOOKUP((H114/F114*30.4),TARIFA,3)+VLOOKUP((H114/F114*30.4),TARIFA,2)-VLOOKUP((H114/F114*30.4),SUBSIDIO,2))/30.4*F114,2),0),0)</f>
        <v>0</v>
      </c>
      <c r="J114" s="375">
        <f t="shared" ref="J114" si="55">IFERROR(IF(ROUND((((H114/F114*30.4)-VLOOKUP((H114/F114*30.4),TARIFA,1))*VLOOKUP((H114/F114*30.4),TARIFA,3)+VLOOKUP((H114/F114*30.4),TARIFA,2)-VLOOKUP((H114/F114*30.4),SUBSIDIO,2))/30.4*F114,2)&gt;0,ROUND((((H114/F114*30.4)-VLOOKUP((H114/F114*30.4),TARIFA,1))*VLOOKUP((H114/F114*30.4),TARIFA,3)+VLOOKUP((H114/F114*30.4),TARIFA,2)-VLOOKUP((H114/F114*30.4),SUBSIDIO,2))/30.4*F114,2),0),0)</f>
        <v>51.49</v>
      </c>
      <c r="K114" s="376"/>
      <c r="L114" s="380">
        <f t="shared" ref="L114" si="56">H114+I114-J114-K114</f>
        <v>3000.51</v>
      </c>
      <c r="M114" s="376"/>
      <c r="P114" s="46"/>
      <c r="Q114" s="48"/>
    </row>
    <row r="115" spans="4:17" ht="60" customHeight="1" x14ac:dyDescent="0.4">
      <c r="D115" s="383" t="s">
        <v>143</v>
      </c>
      <c r="E115" s="371"/>
      <c r="F115" s="373"/>
      <c r="G115" s="380"/>
      <c r="H115" s="376"/>
      <c r="I115" s="375"/>
      <c r="J115" s="375"/>
      <c r="K115" s="376"/>
      <c r="L115" s="376"/>
      <c r="M115" s="376"/>
      <c r="P115" s="46"/>
      <c r="Q115" s="48"/>
    </row>
    <row r="116" spans="4:17" ht="60" customHeight="1" x14ac:dyDescent="0.4">
      <c r="D116" s="371" t="s">
        <v>271</v>
      </c>
      <c r="E116" s="371" t="s">
        <v>272</v>
      </c>
      <c r="F116" s="373">
        <v>15</v>
      </c>
      <c r="G116" s="374">
        <v>3888</v>
      </c>
      <c r="H116" s="374">
        <v>3888</v>
      </c>
      <c r="I116" s="375">
        <f>IFERROR(IF(ROUND((((H116/F116*30.4)-VLOOKUP((H116/F116*30.4),TARIFA,1))*VLOOKUP((H116/F116*30.4),TARIFA,3)+VLOOKUP((H116/F116*30.4),TARIFA,2)-VLOOKUP((H116/F116*30.4),SUBSIDIO,2))/30.4*F116,2)&lt;0,ROUND(-(((H116/F116*30.4)-VLOOKUP((H116/F116*30.4),TARIFA,1))*VLOOKUP((H116/F116*30.4),TARIFA,3)+VLOOKUP((H116/F116*30.4),TARIFA,2)-VLOOKUP((H116/F116*30.4),SUBSIDIO,2))/30.4*F116,2),0),0)</f>
        <v>0</v>
      </c>
      <c r="J116" s="376">
        <f>IFERROR(IF(ROUND((((H116/F116*30.4)-VLOOKUP((H116/F116*30.4),TARIFA,1))*VLOOKUP((H116/F116*30.4),TARIFA,3)+VLOOKUP((H116/F116*30.4),TARIFA,2)-VLOOKUP((H116/F116*30.4),SUBSIDIO,2))/30.4*F116,2)&gt;0,ROUND((((H116/F116*30.4)-VLOOKUP((H116/F116*30.4),TARIFA,1))*VLOOKUP((H116/F116*30.4),TARIFA,3)+VLOOKUP((H116/F116*30.4),TARIFA,2)-VLOOKUP((H116/F116*30.4),SUBSIDIO,2))/30.4*F116,2),0),0)</f>
        <v>287.83</v>
      </c>
      <c r="K116" s="376">
        <v>0</v>
      </c>
      <c r="L116" s="376">
        <f t="shared" ref="L116" si="57">H116+I116-J116</f>
        <v>3600.17</v>
      </c>
      <c r="M116" s="376"/>
      <c r="P116" s="46"/>
      <c r="Q116" s="48"/>
    </row>
    <row r="117" spans="4:17" ht="60" customHeight="1" x14ac:dyDescent="0.4">
      <c r="D117" s="371" t="s">
        <v>273</v>
      </c>
      <c r="E117" s="372" t="s">
        <v>220</v>
      </c>
      <c r="F117" s="373">
        <v>15</v>
      </c>
      <c r="G117" s="380">
        <v>3299</v>
      </c>
      <c r="H117" s="376">
        <v>3299</v>
      </c>
      <c r="I117" s="375"/>
      <c r="J117" s="375">
        <f>IFERROR(IF(ROUND((((H117/F117*30.4)-VLOOKUP((H117/F117*30.4),TARIFA,1))*VLOOKUP((H117/F117*30.4),TARIFA,3)+VLOOKUP((H117/F117*30.4),TARIFA,2)-VLOOKUP((H117/F117*30.4),SUBSIDIO,2))/30.4*F117,2)&gt;0,ROUND((((H117/F117*30.4)-VLOOKUP((H117/F117*30.4),TARIFA,1))*VLOOKUP((H117/F117*30.4),TARIFA,3)+VLOOKUP((H117/F117*30.4),TARIFA,2)-VLOOKUP((H117/F117*30.4),SUBSIDIO,2))/30.4*F117,2),0),0)</f>
        <v>98.64</v>
      </c>
      <c r="K117" s="376"/>
      <c r="L117" s="376">
        <f t="shared" ref="L117" si="58">H117+I117-J117-K117</f>
        <v>3200.36</v>
      </c>
      <c r="M117" s="376"/>
      <c r="P117" s="46"/>
      <c r="Q117" s="48"/>
    </row>
    <row r="118" spans="4:17" ht="60" customHeight="1" x14ac:dyDescent="0.4">
      <c r="D118" s="383" t="s">
        <v>317</v>
      </c>
      <c r="E118" s="371"/>
      <c r="F118" s="373"/>
      <c r="G118" s="380"/>
      <c r="H118" s="376"/>
      <c r="I118" s="375"/>
      <c r="J118" s="375"/>
      <c r="K118" s="376"/>
      <c r="L118" s="376"/>
      <c r="M118" s="376"/>
      <c r="P118" s="46"/>
      <c r="Q118" s="48"/>
    </row>
    <row r="119" spans="4:17" ht="60" customHeight="1" x14ac:dyDescent="0.4">
      <c r="D119" s="371" t="s">
        <v>318</v>
      </c>
      <c r="E119" s="372" t="s">
        <v>319</v>
      </c>
      <c r="F119" s="373">
        <v>15</v>
      </c>
      <c r="G119" s="380">
        <v>3543</v>
      </c>
      <c r="H119" s="376">
        <v>3543</v>
      </c>
      <c r="I119" s="375">
        <f>IFERROR(IF(ROUND((((H119/F119*30.4)-VLOOKUP((H119/F119*30.4),TARIFA,1))*VLOOKUP((H119/F119*30.4),TARIFA,3)+VLOOKUP((H119/F119*30.4),TARIFA,2)-VLOOKUP((H119/F119*30.4),SUBSIDIO,2))/30.4*F119,2)&lt;0,ROUND(-(((H119/F119*30.4)-VLOOKUP((H119/F119*30.4),TARIFA,1))*VLOOKUP((H119/F119*30.4),TARIFA,3)+VLOOKUP((H119/F119*30.4),TARIFA,2)-VLOOKUP((H119/F119*30.4),SUBSIDIO,2))/30.4*F119,2),0),0)</f>
        <v>0</v>
      </c>
      <c r="J119" s="375">
        <f>IFERROR(IF(ROUND((((H119/F119*30.4)-VLOOKUP((H119/F119*30.4),TARIFA,1))*VLOOKUP((H119/F119*30.4),TARIFA,3)+VLOOKUP((H119/F119*30.4),TARIFA,2)-VLOOKUP((H119/F119*30.4),SUBSIDIO,2))/30.4*F119,2)&gt;0,ROUND((((H119/F119*30.4)-VLOOKUP((H119/F119*30.4),TARIFA,1))*VLOOKUP((H119/F119*30.4),TARIFA,3)+VLOOKUP((H119/F119*30.4),TARIFA,2)-VLOOKUP((H119/F119*30.4),SUBSIDIO,2))/30.4*F119,2),0),0)</f>
        <v>142.91999999999999</v>
      </c>
      <c r="K119" s="376">
        <v>0</v>
      </c>
      <c r="L119" s="376">
        <f>H119+I119-J119-K119</f>
        <v>3400.08</v>
      </c>
      <c r="M119" s="376"/>
      <c r="P119" s="46"/>
      <c r="Q119" s="48"/>
    </row>
    <row r="120" spans="4:17" ht="0.75" customHeight="1" x14ac:dyDescent="0.4">
      <c r="D120" s="126"/>
      <c r="E120" s="93"/>
      <c r="F120" s="89"/>
      <c r="G120" s="99"/>
      <c r="H120" s="91"/>
      <c r="I120" s="209"/>
      <c r="J120" s="209"/>
      <c r="K120" s="91"/>
      <c r="L120" s="91"/>
      <c r="M120" s="18"/>
      <c r="P120" s="46"/>
      <c r="Q120" s="48"/>
    </row>
    <row r="121" spans="4:17" ht="39.75" hidden="1" customHeight="1" x14ac:dyDescent="0.35">
      <c r="D121" s="120"/>
      <c r="E121" s="121"/>
      <c r="F121" s="122"/>
      <c r="G121" s="117"/>
      <c r="H121" s="117"/>
      <c r="I121" s="116"/>
      <c r="J121" s="116"/>
      <c r="K121" s="117"/>
      <c r="L121" s="117"/>
      <c r="M121" s="18"/>
      <c r="P121" s="46"/>
      <c r="Q121" s="48"/>
    </row>
    <row r="122" spans="4:17" ht="38.1" customHeight="1" x14ac:dyDescent="0.25">
      <c r="D122" s="109"/>
      <c r="E122" s="110"/>
      <c r="F122" s="111"/>
      <c r="G122" s="112">
        <f>SUM(G94:G119)</f>
        <v>49992</v>
      </c>
      <c r="H122" s="112">
        <f>SUM(H94:H119)</f>
        <v>49992</v>
      </c>
      <c r="I122" s="112">
        <f>SUM(I93:I119)</f>
        <v>15.38</v>
      </c>
      <c r="J122" s="112">
        <f>SUM(J93:J119)</f>
        <v>2510.88</v>
      </c>
      <c r="K122" s="112">
        <f>SUM(K93:K119)</f>
        <v>0</v>
      </c>
      <c r="L122" s="112">
        <f>SUM(L93:L119)</f>
        <v>47496.500000000007</v>
      </c>
      <c r="M122" s="70"/>
      <c r="P122" s="46"/>
      <c r="Q122" s="48"/>
    </row>
    <row r="123" spans="4:17" ht="38.1" customHeight="1" x14ac:dyDescent="0.25">
      <c r="D123" s="109"/>
      <c r="E123" s="110"/>
      <c r="F123" s="111"/>
      <c r="G123" s="112"/>
      <c r="H123" s="112"/>
      <c r="I123" s="215"/>
      <c r="J123" s="215"/>
      <c r="K123" s="112"/>
      <c r="L123" s="112"/>
      <c r="M123" s="70"/>
      <c r="P123" s="46"/>
      <c r="Q123" s="48"/>
    </row>
    <row r="124" spans="4:17" ht="38.1" customHeight="1" x14ac:dyDescent="0.25">
      <c r="D124" s="109"/>
      <c r="E124" s="110"/>
      <c r="F124" s="111"/>
      <c r="G124" s="112"/>
      <c r="H124" s="112"/>
      <c r="I124" s="215"/>
      <c r="J124" s="215"/>
      <c r="K124" s="112"/>
      <c r="L124" s="112"/>
      <c r="M124" s="70"/>
      <c r="P124" s="46"/>
      <c r="Q124" s="48"/>
    </row>
    <row r="125" spans="4:17" ht="38.1" customHeight="1" x14ac:dyDescent="0.25">
      <c r="D125" s="109"/>
      <c r="E125" s="110"/>
      <c r="F125" s="111"/>
      <c r="G125" s="112"/>
      <c r="H125" s="112"/>
      <c r="I125" s="215"/>
      <c r="J125" s="215"/>
      <c r="K125" s="112"/>
      <c r="L125" s="112"/>
      <c r="M125" s="70"/>
      <c r="P125" s="46"/>
      <c r="Q125" s="48"/>
    </row>
    <row r="126" spans="4:17" ht="38.1" customHeight="1" x14ac:dyDescent="0.25">
      <c r="D126" s="109"/>
      <c r="E126" s="110"/>
      <c r="F126" s="111"/>
      <c r="G126" s="112"/>
      <c r="H126" s="112"/>
      <c r="I126" s="215"/>
      <c r="J126" s="215"/>
      <c r="K126" s="112"/>
      <c r="L126" s="112"/>
      <c r="M126" s="70"/>
      <c r="P126" s="46"/>
      <c r="Q126" s="48"/>
    </row>
    <row r="127" spans="4:17" ht="20.100000000000001" customHeight="1" x14ac:dyDescent="0.35">
      <c r="D127" s="450"/>
      <c r="E127" s="450"/>
      <c r="F127" s="450"/>
      <c r="G127" s="450"/>
      <c r="H127" s="450"/>
      <c r="I127" s="450"/>
      <c r="J127" s="450"/>
      <c r="K127" s="450"/>
      <c r="L127" s="450"/>
      <c r="M127" s="450"/>
      <c r="P127" s="46"/>
      <c r="Q127" s="48"/>
    </row>
    <row r="128" spans="4:17" ht="20.100000000000001" customHeight="1" x14ac:dyDescent="0.35">
      <c r="D128" s="450"/>
      <c r="E128" s="450"/>
      <c r="F128" s="450"/>
      <c r="G128" s="450"/>
      <c r="H128" s="450"/>
      <c r="I128" s="450"/>
      <c r="J128" s="450"/>
      <c r="K128" s="450"/>
      <c r="L128" s="450"/>
      <c r="M128" s="450"/>
      <c r="P128" s="46"/>
      <c r="Q128" s="48"/>
    </row>
    <row r="129" spans="2:17" ht="20.100000000000001" customHeight="1" x14ac:dyDescent="0.35">
      <c r="D129" s="451"/>
      <c r="E129" s="451"/>
      <c r="F129" s="451"/>
      <c r="G129" s="451"/>
      <c r="H129" s="451"/>
      <c r="I129" s="451"/>
      <c r="J129" s="451"/>
      <c r="K129" s="451"/>
      <c r="L129" s="451"/>
      <c r="M129" s="451"/>
      <c r="P129" s="46"/>
      <c r="Q129" s="48"/>
    </row>
    <row r="130" spans="2:17" ht="20.100000000000001" customHeight="1" x14ac:dyDescent="0.35">
      <c r="D130" s="451"/>
      <c r="E130" s="451"/>
      <c r="F130" s="451"/>
      <c r="G130" s="451"/>
      <c r="H130" s="451"/>
      <c r="I130" s="451"/>
      <c r="J130" s="451"/>
      <c r="K130" s="451"/>
      <c r="L130" s="451"/>
      <c r="M130" s="451"/>
      <c r="P130" s="46"/>
      <c r="Q130" s="48"/>
    </row>
    <row r="131" spans="2:17" ht="33" customHeight="1" x14ac:dyDescent="0.25">
      <c r="D131" s="290"/>
      <c r="E131" s="290"/>
      <c r="F131" s="294" t="s">
        <v>3</v>
      </c>
      <c r="G131" s="467" t="s">
        <v>0</v>
      </c>
      <c r="H131" s="468"/>
      <c r="I131" s="469"/>
      <c r="J131" s="292"/>
      <c r="K131" s="293"/>
      <c r="L131" s="294"/>
      <c r="M131" s="295"/>
      <c r="P131" s="46"/>
      <c r="Q131" s="48"/>
    </row>
    <row r="132" spans="2:17" ht="33" customHeight="1" x14ac:dyDescent="0.25">
      <c r="D132" s="294"/>
      <c r="E132" s="323"/>
      <c r="F132" s="296" t="s">
        <v>4</v>
      </c>
      <c r="G132" s="291" t="s">
        <v>1</v>
      </c>
      <c r="H132" s="291" t="s">
        <v>121</v>
      </c>
      <c r="I132" s="297" t="s">
        <v>124</v>
      </c>
      <c r="J132" s="297"/>
      <c r="K132" s="294" t="s">
        <v>137</v>
      </c>
      <c r="L132" s="294" t="s">
        <v>123</v>
      </c>
      <c r="M132" s="298"/>
      <c r="P132" s="46"/>
      <c r="Q132" s="48"/>
    </row>
    <row r="133" spans="2:17" ht="33" customHeight="1" x14ac:dyDescent="0.25">
      <c r="D133" s="299"/>
      <c r="E133" s="299" t="s">
        <v>8</v>
      </c>
      <c r="F133" s="294"/>
      <c r="G133" s="294" t="s">
        <v>6</v>
      </c>
      <c r="H133" s="294" t="s">
        <v>123</v>
      </c>
      <c r="I133" s="296" t="s">
        <v>125</v>
      </c>
      <c r="J133" s="296" t="s">
        <v>126</v>
      </c>
      <c r="K133" s="294" t="s">
        <v>139</v>
      </c>
      <c r="L133" s="294" t="s">
        <v>129</v>
      </c>
      <c r="M133" s="291" t="s">
        <v>132</v>
      </c>
      <c r="P133" s="46"/>
      <c r="Q133" s="48"/>
    </row>
    <row r="134" spans="2:17" ht="33" customHeight="1" x14ac:dyDescent="0.25">
      <c r="D134" s="299" t="s">
        <v>66</v>
      </c>
      <c r="E134" s="299" t="s">
        <v>7</v>
      </c>
      <c r="F134" s="291"/>
      <c r="G134" s="291"/>
      <c r="H134" s="291"/>
      <c r="I134" s="297"/>
      <c r="J134" s="300"/>
      <c r="K134" s="301"/>
      <c r="L134" s="291"/>
      <c r="M134" s="291"/>
      <c r="P134" s="46"/>
      <c r="Q134" s="48"/>
    </row>
    <row r="135" spans="2:17" ht="60" customHeight="1" x14ac:dyDescent="0.4">
      <c r="B135" s="67"/>
      <c r="D135" s="411" t="s">
        <v>52</v>
      </c>
      <c r="E135" s="412"/>
      <c r="F135" s="413"/>
      <c r="G135" s="380"/>
      <c r="H135" s="414"/>
      <c r="I135" s="415"/>
      <c r="J135" s="415"/>
      <c r="K135" s="414"/>
      <c r="L135" s="376"/>
      <c r="M135" s="18"/>
      <c r="P135" s="46"/>
      <c r="Q135" s="48"/>
    </row>
    <row r="136" spans="2:17" ht="60" customHeight="1" x14ac:dyDescent="0.4">
      <c r="D136" s="416" t="s">
        <v>323</v>
      </c>
      <c r="E136" s="417" t="s">
        <v>71</v>
      </c>
      <c r="F136" s="418">
        <v>15</v>
      </c>
      <c r="G136" s="419">
        <v>2830</v>
      </c>
      <c r="H136" s="376">
        <v>2830</v>
      </c>
      <c r="I136" s="375">
        <f>IFERROR(IF(ROUND((((H136/F136*30.4)-VLOOKUP((H136/F136*30.4),TARIFA,1))*VLOOKUP((H136/F136*30.4),TARIFA,3)+VLOOKUP((H136/F136*30.4),TARIFA,2)-VLOOKUP((H136/F136*30.4),SUBSIDIO,2))/30.4*F136,2)&lt;0,ROUND(-(((H136/F136*30.4)-VLOOKUP((H136/F136*30.4),TARIFA,1))*VLOOKUP((H136/F136*30.4),TARIFA,3)+VLOOKUP((H136/F136*30.4),TARIFA,2)-VLOOKUP((H136/F136*30.4),SUBSIDIO,2))/30.4*F136,2),0),0)</f>
        <v>0</v>
      </c>
      <c r="J136" s="375">
        <f>IFERROR(IF(ROUND((((H136/F136*30.4)-VLOOKUP((H136/F136*30.4),TARIFA,1))*VLOOKUP((H136/F136*30.4),TARIFA,3)+VLOOKUP((H136/F136*30.4),TARIFA,2)-VLOOKUP((H136/F136*30.4),SUBSIDIO,2))/30.4*F136,2)&gt;0,ROUND((((H136/F136*30.4)-VLOOKUP((H136/F136*30.4),TARIFA,1))*VLOOKUP((H136/F136*30.4),TARIFA,3)+VLOOKUP((H136/F136*30.4),TARIFA,2)-VLOOKUP((H136/F136*30.4),SUBSIDIO,2))/30.4*F136,2),0),0)</f>
        <v>27.34</v>
      </c>
      <c r="K136" s="376">
        <v>0</v>
      </c>
      <c r="L136" s="376">
        <f>H136+I136-J136-K136</f>
        <v>2802.66</v>
      </c>
      <c r="M136" s="18"/>
      <c r="P136" s="46"/>
      <c r="Q136" s="48"/>
    </row>
    <row r="137" spans="2:17" ht="60" customHeight="1" x14ac:dyDescent="0.4">
      <c r="D137" s="383" t="s">
        <v>39</v>
      </c>
      <c r="E137" s="371"/>
      <c r="F137" s="373"/>
      <c r="G137" s="380"/>
      <c r="H137" s="376"/>
      <c r="I137" s="375"/>
      <c r="J137" s="375"/>
      <c r="K137" s="376"/>
      <c r="L137" s="376"/>
      <c r="M137" s="18"/>
      <c r="P137" s="46"/>
      <c r="Q137" s="48"/>
    </row>
    <row r="138" spans="2:17" ht="60" customHeight="1" x14ac:dyDescent="0.4">
      <c r="D138" s="371" t="s">
        <v>354</v>
      </c>
      <c r="E138" s="371" t="s">
        <v>338</v>
      </c>
      <c r="F138" s="373">
        <v>15</v>
      </c>
      <c r="G138" s="380">
        <v>1053</v>
      </c>
      <c r="H138" s="376">
        <f t="shared" ref="H138:H140" si="59">G138</f>
        <v>1053</v>
      </c>
      <c r="I138" s="375">
        <f t="shared" ref="I138:I140" si="60">IFERROR(IF(ROUND((((H138/F138*30.4)-VLOOKUP((H138/F138*30.4),TARIFA,1))*VLOOKUP((H138/F138*30.4),TARIFA,3)+VLOOKUP((H138/F138*30.4),TARIFA,2)-VLOOKUP((H138/F138*30.4),SUBSIDIO,2))/30.4*F138,2)&lt;0,ROUND(-(((H138/F138*30.4)-VLOOKUP((H138/F138*30.4),TARIFA,1))*VLOOKUP((H138/F138*30.4),TARIFA,3)+VLOOKUP((H138/F138*30.4),TARIFA,2)-VLOOKUP((H138/F138*30.4),SUBSIDIO,2))/30.4*F138,2),0),0)</f>
        <v>147.59</v>
      </c>
      <c r="J138" s="375">
        <f t="shared" ref="J138:J140" si="61">IFERROR(IF(ROUND((((H138/F138*30.4)-VLOOKUP((H138/F138*30.4),TARIFA,1))*VLOOKUP((H138/F138*30.4),TARIFA,3)+VLOOKUP((H138/F138*30.4),TARIFA,2)-VLOOKUP((H138/F138*30.4),SUBSIDIO,2))/30.4*F138,2)&gt;0,ROUND((((H138/F138*30.4)-VLOOKUP((H138/F138*30.4),TARIFA,1))*VLOOKUP((H138/F138*30.4),TARIFA,3)+VLOOKUP((H138/F138*30.4),TARIFA,2)-VLOOKUP((H138/F138*30.4),SUBSIDIO,2))/30.4*F138,2),0),0)</f>
        <v>0</v>
      </c>
      <c r="K138" s="376">
        <v>0</v>
      </c>
      <c r="L138" s="376">
        <f t="shared" ref="L138:L140" si="62">H138+I138-J138-K138</f>
        <v>1200.5899999999999</v>
      </c>
      <c r="M138" s="18"/>
      <c r="P138" s="46"/>
      <c r="Q138" s="48"/>
    </row>
    <row r="139" spans="2:17" ht="60" customHeight="1" x14ac:dyDescent="0.4">
      <c r="D139" s="371" t="s">
        <v>357</v>
      </c>
      <c r="E139" s="371" t="s">
        <v>339</v>
      </c>
      <c r="F139" s="373">
        <v>15</v>
      </c>
      <c r="G139" s="380">
        <v>1053</v>
      </c>
      <c r="H139" s="376">
        <f t="shared" si="59"/>
        <v>1053</v>
      </c>
      <c r="I139" s="375">
        <f t="shared" si="60"/>
        <v>147.59</v>
      </c>
      <c r="J139" s="375">
        <f t="shared" si="61"/>
        <v>0</v>
      </c>
      <c r="K139" s="376">
        <v>0</v>
      </c>
      <c r="L139" s="376">
        <f t="shared" si="62"/>
        <v>1200.5899999999999</v>
      </c>
      <c r="M139" s="18"/>
      <c r="P139" s="46"/>
      <c r="Q139" s="48"/>
    </row>
    <row r="140" spans="2:17" ht="60" customHeight="1" x14ac:dyDescent="0.4">
      <c r="D140" s="371" t="s">
        <v>365</v>
      </c>
      <c r="E140" s="371" t="s">
        <v>340</v>
      </c>
      <c r="F140" s="373">
        <v>15</v>
      </c>
      <c r="G140" s="380">
        <v>1053</v>
      </c>
      <c r="H140" s="376">
        <f t="shared" si="59"/>
        <v>1053</v>
      </c>
      <c r="I140" s="375">
        <f t="shared" si="60"/>
        <v>147.59</v>
      </c>
      <c r="J140" s="375">
        <f t="shared" si="61"/>
        <v>0</v>
      </c>
      <c r="K140" s="376">
        <v>0</v>
      </c>
      <c r="L140" s="376">
        <f t="shared" si="62"/>
        <v>1200.5899999999999</v>
      </c>
      <c r="M140" s="18"/>
      <c r="P140" s="46"/>
      <c r="Q140" s="48"/>
    </row>
    <row r="141" spans="2:17" ht="60" customHeight="1" x14ac:dyDescent="0.4">
      <c r="D141" s="371" t="s">
        <v>87</v>
      </c>
      <c r="E141" s="371" t="s">
        <v>341</v>
      </c>
      <c r="F141" s="373">
        <v>15</v>
      </c>
      <c r="G141" s="380">
        <v>1053</v>
      </c>
      <c r="H141" s="376">
        <f t="shared" ref="H141:H145" si="63">G141</f>
        <v>1053</v>
      </c>
      <c r="I141" s="375">
        <f t="shared" ref="I141:I145" si="64">IFERROR(IF(ROUND((((H141/F141*30.4)-VLOOKUP((H141/F141*30.4),TARIFA,1))*VLOOKUP((H141/F141*30.4),TARIFA,3)+VLOOKUP((H141/F141*30.4),TARIFA,2)-VLOOKUP((H141/F141*30.4),SUBSIDIO,2))/30.4*F141,2)&lt;0,ROUND(-(((H141/F141*30.4)-VLOOKUP((H141/F141*30.4),TARIFA,1))*VLOOKUP((H141/F141*30.4),TARIFA,3)+VLOOKUP((H141/F141*30.4),TARIFA,2)-VLOOKUP((H141/F141*30.4),SUBSIDIO,2))/30.4*F141,2),0),0)</f>
        <v>147.59</v>
      </c>
      <c r="J141" s="375">
        <f t="shared" ref="J141:J145" si="65">IFERROR(IF(ROUND((((H141/F141*30.4)-VLOOKUP((H141/F141*30.4),TARIFA,1))*VLOOKUP((H141/F141*30.4),TARIFA,3)+VLOOKUP((H141/F141*30.4),TARIFA,2)-VLOOKUP((H141/F141*30.4),SUBSIDIO,2))/30.4*F141,2)&gt;0,ROUND((((H141/F141*30.4)-VLOOKUP((H141/F141*30.4),TARIFA,1))*VLOOKUP((H141/F141*30.4),TARIFA,3)+VLOOKUP((H141/F141*30.4),TARIFA,2)-VLOOKUP((H141/F141*30.4),SUBSIDIO,2))/30.4*F141,2),0),0)</f>
        <v>0</v>
      </c>
      <c r="K141" s="376">
        <v>0</v>
      </c>
      <c r="L141" s="376">
        <f t="shared" ref="L141:L156" si="66">H141+I141-J141-K141</f>
        <v>1200.5899999999999</v>
      </c>
      <c r="M141" s="18"/>
      <c r="P141" s="46"/>
      <c r="Q141" s="48"/>
    </row>
    <row r="142" spans="2:17" ht="60" hidden="1" customHeight="1" x14ac:dyDescent="0.4">
      <c r="D142" s="371"/>
      <c r="E142" s="371"/>
      <c r="F142" s="373">
        <v>15</v>
      </c>
      <c r="G142" s="380">
        <v>0</v>
      </c>
      <c r="H142" s="376">
        <f t="shared" ref="H142:H143" si="67">G142</f>
        <v>0</v>
      </c>
      <c r="I142" s="375">
        <f t="shared" ref="I142:I143" si="68">IFERROR(IF(ROUND((((H142/F142*30.4)-VLOOKUP((H142/F142*30.4),TARIFA,1))*VLOOKUP((H142/F142*30.4),TARIFA,3)+VLOOKUP((H142/F142*30.4),TARIFA,2)-VLOOKUP((H142/F142*30.4),SUBSIDIO,2))/30.4*F142,2)&lt;0,ROUND(-(((H142/F142*30.4)-VLOOKUP((H142/F142*30.4),TARIFA,1))*VLOOKUP((H142/F142*30.4),TARIFA,3)+VLOOKUP((H142/F142*30.4),TARIFA,2)-VLOOKUP((H142/F142*30.4),SUBSIDIO,2))/30.4*F142,2),0),0)</f>
        <v>0</v>
      </c>
      <c r="J142" s="375">
        <f t="shared" ref="J142:J143" si="69">IFERROR(IF(ROUND((((H142/F142*30.4)-VLOOKUP((H142/F142*30.4),TARIFA,1))*VLOOKUP((H142/F142*30.4),TARIFA,3)+VLOOKUP((H142/F142*30.4),TARIFA,2)-VLOOKUP((H142/F142*30.4),SUBSIDIO,2))/30.4*F142,2)&gt;0,ROUND((((H142/F142*30.4)-VLOOKUP((H142/F142*30.4),TARIFA,1))*VLOOKUP((H142/F142*30.4),TARIFA,3)+VLOOKUP((H142/F142*30.4),TARIFA,2)-VLOOKUP((H142/F142*30.4),SUBSIDIO,2))/30.4*F142,2),0),0)</f>
        <v>0</v>
      </c>
      <c r="K142" s="376">
        <v>0</v>
      </c>
      <c r="L142" s="376">
        <f t="shared" ref="L142:L143" si="70">H142+I142-J142-K142</f>
        <v>0</v>
      </c>
      <c r="M142" s="18"/>
      <c r="P142" s="46"/>
      <c r="Q142" s="48"/>
    </row>
    <row r="143" spans="2:17" ht="60" customHeight="1" x14ac:dyDescent="0.4">
      <c r="D143" s="371" t="s">
        <v>358</v>
      </c>
      <c r="E143" s="371" t="s">
        <v>342</v>
      </c>
      <c r="F143" s="373">
        <v>15</v>
      </c>
      <c r="G143" s="380">
        <v>1053</v>
      </c>
      <c r="H143" s="376">
        <f t="shared" si="67"/>
        <v>1053</v>
      </c>
      <c r="I143" s="375">
        <f t="shared" si="68"/>
        <v>147.59</v>
      </c>
      <c r="J143" s="375">
        <f t="shared" si="69"/>
        <v>0</v>
      </c>
      <c r="K143" s="376">
        <v>0</v>
      </c>
      <c r="L143" s="376">
        <f t="shared" si="70"/>
        <v>1200.5899999999999</v>
      </c>
      <c r="M143" s="18"/>
      <c r="P143" s="46"/>
      <c r="Q143" s="48"/>
    </row>
    <row r="144" spans="2:17" ht="60" customHeight="1" x14ac:dyDescent="0.4">
      <c r="D144" s="371" t="s">
        <v>217</v>
      </c>
      <c r="E144" s="371" t="s">
        <v>218</v>
      </c>
      <c r="F144" s="373">
        <v>15</v>
      </c>
      <c r="G144" s="380">
        <v>3052</v>
      </c>
      <c r="H144" s="376">
        <v>3052</v>
      </c>
      <c r="I144" s="375">
        <f t="shared" si="64"/>
        <v>0</v>
      </c>
      <c r="J144" s="375">
        <f t="shared" si="65"/>
        <v>51.49</v>
      </c>
      <c r="K144" s="376"/>
      <c r="L144" s="380">
        <f t="shared" si="66"/>
        <v>3000.51</v>
      </c>
      <c r="M144" s="18"/>
      <c r="P144" s="46"/>
      <c r="Q144" s="48"/>
    </row>
    <row r="145" spans="4:17" ht="60" customHeight="1" x14ac:dyDescent="0.4">
      <c r="D145" s="371" t="s">
        <v>343</v>
      </c>
      <c r="E145" s="372" t="s">
        <v>344</v>
      </c>
      <c r="F145" s="373">
        <v>15</v>
      </c>
      <c r="G145" s="380">
        <v>2400</v>
      </c>
      <c r="H145" s="376">
        <f t="shared" si="63"/>
        <v>2400</v>
      </c>
      <c r="I145" s="375">
        <f t="shared" si="64"/>
        <v>20.94</v>
      </c>
      <c r="J145" s="375">
        <f t="shared" si="65"/>
        <v>0</v>
      </c>
      <c r="K145" s="376">
        <v>0</v>
      </c>
      <c r="L145" s="376">
        <f t="shared" si="66"/>
        <v>2420.94</v>
      </c>
      <c r="M145" s="18"/>
      <c r="P145" s="46"/>
      <c r="Q145" s="48"/>
    </row>
    <row r="146" spans="4:17" ht="60" customHeight="1" x14ac:dyDescent="0.4">
      <c r="D146" s="371"/>
      <c r="E146" s="372" t="s">
        <v>110</v>
      </c>
      <c r="F146" s="373">
        <v>15</v>
      </c>
      <c r="G146" s="380">
        <v>0</v>
      </c>
      <c r="H146" s="376">
        <f t="shared" ref="H146:H149" si="71">G146</f>
        <v>0</v>
      </c>
      <c r="I146" s="375">
        <f t="shared" ref="I146:I150" si="72">IFERROR(IF(ROUND((((H146/F146*30.4)-VLOOKUP((H146/F146*30.4),TARIFA,1))*VLOOKUP((H146/F146*30.4),TARIFA,3)+VLOOKUP((H146/F146*30.4),TARIFA,2)-VLOOKUP((H146/F146*30.4),SUBSIDIO,2))/30.4*F146,2)&lt;0,ROUND(-(((H146/F146*30.4)-VLOOKUP((H146/F146*30.4),TARIFA,1))*VLOOKUP((H146/F146*30.4),TARIFA,3)+VLOOKUP((H146/F146*30.4),TARIFA,2)-VLOOKUP((H146/F146*30.4),SUBSIDIO,2))/30.4*F146,2),0),0)</f>
        <v>0</v>
      </c>
      <c r="J146" s="375">
        <f t="shared" ref="J146:J150" si="73">IFERROR(IF(ROUND((((H146/F146*30.4)-VLOOKUP((H146/F146*30.4),TARIFA,1))*VLOOKUP((H146/F146*30.4),TARIFA,3)+VLOOKUP((H146/F146*30.4),TARIFA,2)-VLOOKUP((H146/F146*30.4),SUBSIDIO,2))/30.4*F146,2)&gt;0,ROUND((((H146/F146*30.4)-VLOOKUP((H146/F146*30.4),TARIFA,1))*VLOOKUP((H146/F146*30.4),TARIFA,3)+VLOOKUP((H146/F146*30.4),TARIFA,2)-VLOOKUP((H146/F146*30.4),SUBSIDIO,2))/30.4*F146,2),0),0)</f>
        <v>0</v>
      </c>
      <c r="K146" s="376">
        <v>0</v>
      </c>
      <c r="L146" s="376">
        <f t="shared" ref="L146:L150" si="74">H146+I146-J146-K146</f>
        <v>0</v>
      </c>
      <c r="M146" s="18"/>
      <c r="P146" s="46"/>
      <c r="Q146" s="48"/>
    </row>
    <row r="147" spans="4:17" ht="60" customHeight="1" x14ac:dyDescent="0.4">
      <c r="D147" s="371" t="s">
        <v>361</v>
      </c>
      <c r="E147" s="371" t="s">
        <v>345</v>
      </c>
      <c r="F147" s="373">
        <v>15</v>
      </c>
      <c r="G147" s="380">
        <v>1053</v>
      </c>
      <c r="H147" s="376">
        <f t="shared" si="71"/>
        <v>1053</v>
      </c>
      <c r="I147" s="375">
        <f t="shared" si="72"/>
        <v>147.59</v>
      </c>
      <c r="J147" s="375">
        <f t="shared" si="73"/>
        <v>0</v>
      </c>
      <c r="K147" s="376">
        <v>0</v>
      </c>
      <c r="L147" s="376">
        <f t="shared" si="74"/>
        <v>1200.5899999999999</v>
      </c>
      <c r="M147" s="18"/>
      <c r="P147" s="46"/>
      <c r="Q147" s="48"/>
    </row>
    <row r="148" spans="4:17" ht="60" customHeight="1" x14ac:dyDescent="0.4">
      <c r="D148" s="371" t="s">
        <v>359</v>
      </c>
      <c r="E148" s="371" t="s">
        <v>30</v>
      </c>
      <c r="F148" s="373">
        <v>15</v>
      </c>
      <c r="G148" s="380">
        <v>1630</v>
      </c>
      <c r="H148" s="376">
        <f t="shared" si="71"/>
        <v>1630</v>
      </c>
      <c r="I148" s="375">
        <f t="shared" si="72"/>
        <v>110.56</v>
      </c>
      <c r="J148" s="375">
        <f t="shared" si="73"/>
        <v>0</v>
      </c>
      <c r="K148" s="376"/>
      <c r="L148" s="376">
        <f t="shared" si="74"/>
        <v>1740.56</v>
      </c>
      <c r="M148" s="18"/>
      <c r="P148" s="46"/>
      <c r="Q148" s="48"/>
    </row>
    <row r="149" spans="4:17" ht="60" customHeight="1" x14ac:dyDescent="0.4">
      <c r="D149" s="371" t="s">
        <v>362</v>
      </c>
      <c r="E149" s="371" t="s">
        <v>30</v>
      </c>
      <c r="F149" s="373">
        <v>15</v>
      </c>
      <c r="G149" s="380">
        <v>1630</v>
      </c>
      <c r="H149" s="376">
        <f t="shared" si="71"/>
        <v>1630</v>
      </c>
      <c r="I149" s="375">
        <f t="shared" si="72"/>
        <v>110.56</v>
      </c>
      <c r="J149" s="375">
        <f t="shared" si="73"/>
        <v>0</v>
      </c>
      <c r="K149" s="376"/>
      <c r="L149" s="376">
        <f t="shared" si="74"/>
        <v>1740.56</v>
      </c>
      <c r="M149" s="18"/>
      <c r="P149" s="46"/>
      <c r="Q149" s="48"/>
    </row>
    <row r="150" spans="4:17" ht="60" customHeight="1" x14ac:dyDescent="0.4">
      <c r="D150" s="371" t="s">
        <v>355</v>
      </c>
      <c r="E150" s="371" t="s">
        <v>356</v>
      </c>
      <c r="F150" s="373">
        <v>15</v>
      </c>
      <c r="G150" s="380">
        <v>3052</v>
      </c>
      <c r="H150" s="376">
        <v>3052</v>
      </c>
      <c r="I150" s="375">
        <f t="shared" si="72"/>
        <v>0</v>
      </c>
      <c r="J150" s="375">
        <f t="shared" si="73"/>
        <v>51.49</v>
      </c>
      <c r="K150" s="376"/>
      <c r="L150" s="376">
        <f t="shared" si="74"/>
        <v>3000.51</v>
      </c>
      <c r="M150" s="18"/>
      <c r="P150" s="46"/>
      <c r="Q150" s="48"/>
    </row>
    <row r="151" spans="4:17" ht="60" customHeight="1" x14ac:dyDescent="0.4">
      <c r="D151" s="383" t="s">
        <v>205</v>
      </c>
      <c r="E151" s="371"/>
      <c r="F151" s="373"/>
      <c r="G151" s="380"/>
      <c r="H151" s="376"/>
      <c r="I151" s="375"/>
      <c r="J151" s="375"/>
      <c r="K151" s="376"/>
      <c r="L151" s="376"/>
      <c r="M151" s="18"/>
      <c r="P151" s="46"/>
      <c r="Q151" s="48"/>
    </row>
    <row r="152" spans="4:17" ht="60" customHeight="1" x14ac:dyDescent="0.4">
      <c r="D152" s="371" t="s">
        <v>334</v>
      </c>
      <c r="E152" s="371" t="s">
        <v>281</v>
      </c>
      <c r="F152" s="373">
        <v>15</v>
      </c>
      <c r="G152" s="374">
        <v>3888</v>
      </c>
      <c r="H152" s="374">
        <v>3888</v>
      </c>
      <c r="I152" s="375">
        <f>IFERROR(IF(ROUND((((H152/F152*30.4)-VLOOKUP((H152/F152*30.4),TARIFA,1))*VLOOKUP((H152/F152*30.4),TARIFA,3)+VLOOKUP((H152/F152*30.4),TARIFA,2)-VLOOKUP((H152/F152*30.4),SUBSIDIO,2))/30.4*F152,2)&lt;0,ROUND(-(((H152/F152*30.4)-VLOOKUP((H152/F152*30.4),TARIFA,1))*VLOOKUP((H152/F152*30.4),TARIFA,3)+VLOOKUP((H152/F152*30.4),TARIFA,2)-VLOOKUP((H152/F152*30.4),SUBSIDIO,2))/30.4*F152,2),0),0)</f>
        <v>0</v>
      </c>
      <c r="J152" s="376">
        <f>IFERROR(IF(ROUND((((H152/F152*30.4)-VLOOKUP((H152/F152*30.4),TARIFA,1))*VLOOKUP((H152/F152*30.4),TARIFA,3)+VLOOKUP((H152/F152*30.4),TARIFA,2)-VLOOKUP((H152/F152*30.4),SUBSIDIO,2))/30.4*F152,2)&gt;0,ROUND((((H152/F152*30.4)-VLOOKUP((H152/F152*30.4),TARIFA,1))*VLOOKUP((H152/F152*30.4),TARIFA,3)+VLOOKUP((H152/F152*30.4),TARIFA,2)-VLOOKUP((H152/F152*30.4),SUBSIDIO,2))/30.4*F152,2),0),0)</f>
        <v>287.83</v>
      </c>
      <c r="K152" s="376">
        <v>0</v>
      </c>
      <c r="L152" s="376">
        <f t="shared" ref="L152" si="75">H152+I152-J152</f>
        <v>3600.17</v>
      </c>
      <c r="M152" s="18"/>
      <c r="P152" s="46"/>
      <c r="Q152" s="48"/>
    </row>
    <row r="153" spans="4:17" ht="60" customHeight="1" x14ac:dyDescent="0.4">
      <c r="D153" s="371" t="s">
        <v>204</v>
      </c>
      <c r="E153" s="372" t="s">
        <v>220</v>
      </c>
      <c r="F153" s="373">
        <v>15</v>
      </c>
      <c r="G153" s="380">
        <v>3214</v>
      </c>
      <c r="H153" s="376">
        <v>3214</v>
      </c>
      <c r="I153" s="375">
        <f>IFERROR(IF(ROUND((((H153/F153*30.4)-VLOOKUP((H153/F153*30.4),TARIFA,1))*VLOOKUP((H153/F153*30.4),TARIFA,3)+VLOOKUP((H153/F153*30.4),TARIFA,2)-VLOOKUP((H153/F153*30.4),SUBSIDIO,2))/30.4*F153,2)&lt;0,ROUND(-(((H153/F153*30.4)-VLOOKUP((H153/F153*30.4),TARIFA,1))*VLOOKUP((H153/F153*30.4),TARIFA,3)+VLOOKUP((H153/F153*30.4),TARIFA,2)-VLOOKUP((H153/F153*30.4),SUBSIDIO,2))/30.4*F153,2),0),0)</f>
        <v>0</v>
      </c>
      <c r="J153" s="375">
        <f>IFERROR(IF(ROUND((((H153/F153*30.4)-VLOOKUP((H153/F153*30.4),TARIFA,1))*VLOOKUP((H153/F153*30.4),TARIFA,3)+VLOOKUP((H153/F153*30.4),TARIFA,2)-VLOOKUP((H153/F153*30.4),SUBSIDIO,2))/30.4*F153,2)&gt;0,ROUND((((H153/F153*30.4)-VLOOKUP((H153/F153*30.4),TARIFA,1))*VLOOKUP((H153/F153*30.4),TARIFA,3)+VLOOKUP((H153/F153*30.4),TARIFA,2)-VLOOKUP((H153/F153*30.4),SUBSIDIO,2))/30.4*F153,2),0),0)</f>
        <v>89.4</v>
      </c>
      <c r="K153" s="376"/>
      <c r="L153" s="376">
        <f t="shared" si="66"/>
        <v>3124.6</v>
      </c>
      <c r="M153" s="18"/>
      <c r="P153" s="46"/>
      <c r="Q153" s="48"/>
    </row>
    <row r="154" spans="4:17" ht="60" customHeight="1" x14ac:dyDescent="0.4">
      <c r="D154" s="383" t="s">
        <v>258</v>
      </c>
      <c r="E154" s="371"/>
      <c r="F154" s="373"/>
      <c r="G154" s="376"/>
      <c r="H154" s="376"/>
      <c r="I154" s="375"/>
      <c r="J154" s="375"/>
      <c r="K154" s="376"/>
      <c r="L154" s="376"/>
      <c r="M154" s="18"/>
      <c r="P154" s="46"/>
      <c r="Q154" s="48"/>
    </row>
    <row r="155" spans="4:17" ht="60" hidden="1" customHeight="1" x14ac:dyDescent="0.4">
      <c r="D155" s="371"/>
      <c r="E155" s="420"/>
      <c r="F155" s="373"/>
      <c r="G155" s="376"/>
      <c r="H155" s="376"/>
      <c r="I155" s="375"/>
      <c r="J155" s="375">
        <f>IFERROR(IF(ROUND((((H155/F155*30.4)-VLOOKUP((H155/F155*30.4),TARIFA,1))*VLOOKUP((H155/F155*30.4),TARIFA,3)+VLOOKUP((H155/F155*30.4),TARIFA,2)-VLOOKUP((H155/F155*30.4),SUBSIDIO,2))/30.4*F155,2)&gt;0,ROUND((((H155/F155*30.4)-VLOOKUP((H155/F155*30.4),TARIFA,1))*VLOOKUP((H155/F155*30.4),TARIFA,3)+VLOOKUP((H155/F155*30.4),TARIFA,2)-VLOOKUP((H155/F155*30.4),SUBSIDIO,2))/30.4*F155,2),0),0)</f>
        <v>0</v>
      </c>
      <c r="K155" s="376"/>
      <c r="L155" s="376">
        <f t="shared" si="66"/>
        <v>0</v>
      </c>
      <c r="M155" s="18"/>
      <c r="P155" s="46"/>
      <c r="Q155" s="48"/>
    </row>
    <row r="156" spans="4:17" ht="60" customHeight="1" x14ac:dyDescent="0.4">
      <c r="D156" s="421" t="s">
        <v>261</v>
      </c>
      <c r="E156" s="422" t="s">
        <v>220</v>
      </c>
      <c r="F156" s="418">
        <v>15</v>
      </c>
      <c r="G156" s="380">
        <v>3299</v>
      </c>
      <c r="H156" s="376">
        <v>3299</v>
      </c>
      <c r="I156" s="375"/>
      <c r="J156" s="375">
        <f>IFERROR(IF(ROUND((((H156/F156*30.4)-VLOOKUP((H156/F156*30.4),TARIFA,1))*VLOOKUP((H156/F156*30.4),TARIFA,3)+VLOOKUP((H156/F156*30.4),TARIFA,2)-VLOOKUP((H156/F156*30.4),SUBSIDIO,2))/30.4*F156,2)&gt;0,ROUND((((H156/F156*30.4)-VLOOKUP((H156/F156*30.4),TARIFA,1))*VLOOKUP((H156/F156*30.4),TARIFA,3)+VLOOKUP((H156/F156*30.4),TARIFA,2)-VLOOKUP((H156/F156*30.4),SUBSIDIO,2))/30.4*F156,2),0),0)</f>
        <v>98.64</v>
      </c>
      <c r="K156" s="376"/>
      <c r="L156" s="376">
        <f t="shared" si="66"/>
        <v>3200.36</v>
      </c>
      <c r="M156" s="18"/>
      <c r="P156" s="46"/>
      <c r="Q156" s="48"/>
    </row>
    <row r="157" spans="4:17" ht="60" hidden="1" customHeight="1" x14ac:dyDescent="0.4">
      <c r="D157" s="423"/>
      <c r="E157" s="424"/>
      <c r="F157" s="424"/>
      <c r="G157" s="425"/>
      <c r="H157" s="425"/>
      <c r="I157" s="426"/>
      <c r="J157" s="426"/>
      <c r="K157" s="424"/>
      <c r="L157" s="424"/>
      <c r="M157" s="18"/>
      <c r="P157" s="46"/>
      <c r="Q157" s="48"/>
    </row>
    <row r="158" spans="4:17" ht="60" hidden="1" customHeight="1" x14ac:dyDescent="0.4">
      <c r="D158" s="366"/>
      <c r="E158" s="422"/>
      <c r="F158" s="367"/>
      <c r="G158" s="380"/>
      <c r="H158" s="376"/>
      <c r="I158" s="370"/>
      <c r="J158" s="370"/>
      <c r="K158" s="369">
        <v>0</v>
      </c>
      <c r="L158" s="369"/>
      <c r="M158" s="18"/>
      <c r="P158" s="46"/>
      <c r="Q158" s="48"/>
    </row>
    <row r="159" spans="4:17" ht="60" customHeight="1" x14ac:dyDescent="0.4">
      <c r="D159" s="371" t="s">
        <v>88</v>
      </c>
      <c r="E159" s="371" t="s">
        <v>32</v>
      </c>
      <c r="F159" s="373">
        <v>15</v>
      </c>
      <c r="G159" s="380">
        <v>3780</v>
      </c>
      <c r="H159" s="376">
        <v>3780</v>
      </c>
      <c r="I159" s="375">
        <f t="shared" ref="I159" si="76">IFERROR(IF(ROUND((((H159/F159*30.4)-VLOOKUP((H159/F159*30.4),TARIFA,1))*VLOOKUP((H159/F159*30.4),TARIFA,3)+VLOOKUP((H159/F159*30.4),TARIFA,2)-VLOOKUP((H159/F159*30.4),SUBSIDIO,2))/30.4*F159,2)&lt;0,ROUND(-(((H159/F159*30.4)-VLOOKUP((H159/F159*30.4),TARIFA,1))*VLOOKUP((H159/F159*30.4),TARIFA,3)+VLOOKUP((H159/F159*30.4),TARIFA,2)-VLOOKUP((H159/F159*30.4),SUBSIDIO,2))/30.4*F159,2),0),0)</f>
        <v>0</v>
      </c>
      <c r="J159" s="375">
        <f t="shared" ref="J159" si="77">IFERROR(IF(ROUND((((H159/F159*30.4)-VLOOKUP((H159/F159*30.4),TARIFA,1))*VLOOKUP((H159/F159*30.4),TARIFA,3)+VLOOKUP((H159/F159*30.4),TARIFA,2)-VLOOKUP((H159/F159*30.4),SUBSIDIO,2))/30.4*F159,2)&gt;0,ROUND((((H159/F159*30.4)-VLOOKUP((H159/F159*30.4),TARIFA,1))*VLOOKUP((H159/F159*30.4),TARIFA,3)+VLOOKUP((H159/F159*30.4),TARIFA,2)-VLOOKUP((H159/F159*30.4),SUBSIDIO,2))/30.4*F159,2),0),0)</f>
        <v>276.08</v>
      </c>
      <c r="K159" s="376">
        <v>0</v>
      </c>
      <c r="L159" s="380">
        <f t="shared" ref="L159" si="78">H159+I159-J159-K159</f>
        <v>3503.92</v>
      </c>
      <c r="M159" s="18"/>
      <c r="P159" s="46"/>
      <c r="Q159" s="48"/>
    </row>
    <row r="160" spans="4:17" ht="60" customHeight="1" x14ac:dyDescent="0.4">
      <c r="D160" s="383" t="s">
        <v>170</v>
      </c>
      <c r="E160" s="372"/>
      <c r="F160" s="373"/>
      <c r="G160" s="376"/>
      <c r="H160" s="376"/>
      <c r="I160" s="375"/>
      <c r="J160" s="375"/>
      <c r="K160" s="376"/>
      <c r="L160" s="376"/>
      <c r="M160" s="18"/>
      <c r="P160" s="46"/>
      <c r="Q160" s="48"/>
    </row>
    <row r="161" spans="4:17" ht="60" customHeight="1" x14ac:dyDescent="0.4">
      <c r="D161" s="371" t="s">
        <v>267</v>
      </c>
      <c r="E161" s="371" t="s">
        <v>220</v>
      </c>
      <c r="F161" s="373">
        <v>15</v>
      </c>
      <c r="G161" s="380">
        <v>3299</v>
      </c>
      <c r="H161" s="376">
        <v>3299</v>
      </c>
      <c r="I161" s="375"/>
      <c r="J161" s="375">
        <f>IFERROR(IF(ROUND((((H161/F161*30.4)-VLOOKUP((H161/F161*30.4),TARIFA,1))*VLOOKUP((H161/F161*30.4),TARIFA,3)+VLOOKUP((H161/F161*30.4),TARIFA,2)-VLOOKUP((H161/F161*30.4),SUBSIDIO,2))/30.4*F161,2)&gt;0,ROUND((((H161/F161*30.4)-VLOOKUP((H161/F161*30.4),TARIFA,1))*VLOOKUP((H161/F161*30.4),TARIFA,3)+VLOOKUP((H161/F161*30.4),TARIFA,2)-VLOOKUP((H161/F161*30.4),SUBSIDIO,2))/30.4*F161,2),0),0)</f>
        <v>98.64</v>
      </c>
      <c r="K161" s="376"/>
      <c r="L161" s="376">
        <f t="shared" ref="L161" si="79">H161+I161-J161-K161</f>
        <v>3200.36</v>
      </c>
      <c r="M161" s="18"/>
      <c r="P161" s="46"/>
      <c r="Q161" s="48"/>
    </row>
    <row r="162" spans="4:17" ht="60" customHeight="1" x14ac:dyDescent="0.4">
      <c r="D162" s="383" t="s">
        <v>282</v>
      </c>
      <c r="E162" s="371"/>
      <c r="F162" s="373"/>
      <c r="G162" s="380"/>
      <c r="H162" s="376"/>
      <c r="I162" s="375"/>
      <c r="J162" s="375"/>
      <c r="K162" s="376"/>
      <c r="L162" s="376"/>
      <c r="M162" s="18"/>
      <c r="P162" s="46"/>
      <c r="Q162" s="48"/>
    </row>
    <row r="163" spans="4:17" ht="60" customHeight="1" x14ac:dyDescent="0.4">
      <c r="D163" s="371" t="s">
        <v>283</v>
      </c>
      <c r="E163" s="372" t="s">
        <v>284</v>
      </c>
      <c r="F163" s="373">
        <v>15</v>
      </c>
      <c r="G163" s="376">
        <v>4337</v>
      </c>
      <c r="H163" s="376">
        <v>4337</v>
      </c>
      <c r="I163" s="375"/>
      <c r="J163" s="375">
        <f>IFERROR(IF(ROUND((((H163/F163*30.4)-VLOOKUP((H163/F163*30.4),TARIFA,1))*VLOOKUP((H163/F163*30.4),TARIFA,3)+VLOOKUP((H163/F163*30.4),TARIFA,2)-VLOOKUP((H163/F163*30.4),SUBSIDIO,2))/30.4*F163,2)&gt;0,ROUND((((H163/F163*30.4)-VLOOKUP((H163/F163*30.4),TARIFA,1))*VLOOKUP((H163/F163*30.4),TARIFA,3)+VLOOKUP((H163/F163*30.4),TARIFA,2)-VLOOKUP((H163/F163*30.4),SUBSIDIO,2))/30.4*F163,2),0),0)</f>
        <v>336.68</v>
      </c>
      <c r="K163" s="376"/>
      <c r="L163" s="376">
        <f t="shared" ref="L163" si="80">H163+I163-J163-K163</f>
        <v>4000.32</v>
      </c>
      <c r="M163" s="18"/>
      <c r="P163" s="46"/>
      <c r="Q163" s="48"/>
    </row>
    <row r="164" spans="4:17" ht="60" customHeight="1" x14ac:dyDescent="0.4">
      <c r="D164" s="383" t="s">
        <v>299</v>
      </c>
      <c r="E164" s="372"/>
      <c r="F164" s="373"/>
      <c r="G164" s="376"/>
      <c r="H164" s="376"/>
      <c r="I164" s="375"/>
      <c r="J164" s="375"/>
      <c r="K164" s="376"/>
      <c r="L164" s="376"/>
      <c r="M164" s="18"/>
      <c r="P164" s="46"/>
      <c r="Q164" s="48"/>
    </row>
    <row r="165" spans="4:17" ht="60" customHeight="1" x14ac:dyDescent="0.4">
      <c r="D165" s="371" t="s">
        <v>300</v>
      </c>
      <c r="E165" s="372" t="s">
        <v>302</v>
      </c>
      <c r="F165" s="373">
        <v>15</v>
      </c>
      <c r="G165" s="374">
        <v>3888</v>
      </c>
      <c r="H165" s="374">
        <v>3888</v>
      </c>
      <c r="I165" s="375">
        <f>IFERROR(IF(ROUND((((H165/F165*30.4)-VLOOKUP((H165/F165*30.4),TARIFA,1))*VLOOKUP((H165/F165*30.4),TARIFA,3)+VLOOKUP((H165/F165*30.4),TARIFA,2)-VLOOKUP((H165/F165*30.4),SUBSIDIO,2))/30.4*F165,2)&lt;0,ROUND(-(((H165/F165*30.4)-VLOOKUP((H165/F165*30.4),TARIFA,1))*VLOOKUP((H165/F165*30.4),TARIFA,3)+VLOOKUP((H165/F165*30.4),TARIFA,2)-VLOOKUP((H165/F165*30.4),SUBSIDIO,2))/30.4*F165,2),0),0)</f>
        <v>0</v>
      </c>
      <c r="J165" s="376">
        <f>IFERROR(IF(ROUND((((H165/F165*30.4)-VLOOKUP((H165/F165*30.4),TARIFA,1))*VLOOKUP((H165/F165*30.4),TARIFA,3)+VLOOKUP((H165/F165*30.4),TARIFA,2)-VLOOKUP((H165/F165*30.4),SUBSIDIO,2))/30.4*F165,2)&gt;0,ROUND((((H165/F165*30.4)-VLOOKUP((H165/F165*30.4),TARIFA,1))*VLOOKUP((H165/F165*30.4),TARIFA,3)+VLOOKUP((H165/F165*30.4),TARIFA,2)-VLOOKUP((H165/F165*30.4),SUBSIDIO,2))/30.4*F165,2),0),0)</f>
        <v>287.83</v>
      </c>
      <c r="K165" s="376">
        <v>0</v>
      </c>
      <c r="L165" s="376">
        <f t="shared" ref="L165" si="81">H165+I165-J165</f>
        <v>3600.17</v>
      </c>
      <c r="M165" s="18"/>
      <c r="P165" s="46"/>
      <c r="Q165" s="48"/>
    </row>
    <row r="166" spans="4:17" ht="60" customHeight="1" x14ac:dyDescent="0.4">
      <c r="D166" s="371" t="s">
        <v>301</v>
      </c>
      <c r="E166" s="372" t="s">
        <v>220</v>
      </c>
      <c r="F166" s="373">
        <v>15</v>
      </c>
      <c r="G166" s="380">
        <v>3299</v>
      </c>
      <c r="H166" s="376">
        <v>3299</v>
      </c>
      <c r="I166" s="375"/>
      <c r="J166" s="375">
        <f>IFERROR(IF(ROUND((((H166/F166*30.4)-VLOOKUP((H166/F166*30.4),TARIFA,1))*VLOOKUP((H166/F166*30.4),TARIFA,3)+VLOOKUP((H166/F166*30.4),TARIFA,2)-VLOOKUP((H166/F166*30.4),SUBSIDIO,2))/30.4*F166,2)&gt;0,ROUND((((H166/F166*30.4)-VLOOKUP((H166/F166*30.4),TARIFA,1))*VLOOKUP((H166/F166*30.4),TARIFA,3)+VLOOKUP((H166/F166*30.4),TARIFA,2)-VLOOKUP((H166/F166*30.4),SUBSIDIO,2))/30.4*F166,2),0),0)</f>
        <v>98.64</v>
      </c>
      <c r="K166" s="376"/>
      <c r="L166" s="376">
        <f t="shared" ref="L166" si="82">H166+I166-J166-K166</f>
        <v>3200.36</v>
      </c>
      <c r="M166" s="18"/>
      <c r="P166" s="46"/>
      <c r="Q166" s="48"/>
    </row>
    <row r="167" spans="4:17" ht="60" customHeight="1" x14ac:dyDescent="0.4">
      <c r="D167" s="383" t="s">
        <v>303</v>
      </c>
      <c r="E167" s="372"/>
      <c r="F167" s="373"/>
      <c r="G167" s="380"/>
      <c r="H167" s="376"/>
      <c r="I167" s="375"/>
      <c r="J167" s="375"/>
      <c r="K167" s="376"/>
      <c r="L167" s="376"/>
      <c r="M167" s="18"/>
      <c r="P167" s="46"/>
      <c r="Q167" s="48"/>
    </row>
    <row r="168" spans="4:17" ht="60" customHeight="1" x14ac:dyDescent="0.4">
      <c r="D168" s="371" t="s">
        <v>304</v>
      </c>
      <c r="E168" s="372" t="s">
        <v>220</v>
      </c>
      <c r="F168" s="373">
        <v>15</v>
      </c>
      <c r="G168" s="374">
        <v>3888</v>
      </c>
      <c r="H168" s="374">
        <v>3888</v>
      </c>
      <c r="I168" s="375">
        <f>IFERROR(IF(ROUND((((H168/F168*30.4)-VLOOKUP((H168/F168*30.4),TARIFA,1))*VLOOKUP((H168/F168*30.4),TARIFA,3)+VLOOKUP((H168/F168*30.4),TARIFA,2)-VLOOKUP((H168/F168*30.4),SUBSIDIO,2))/30.4*F168,2)&lt;0,ROUND(-(((H168/F168*30.4)-VLOOKUP((H168/F168*30.4),TARIFA,1))*VLOOKUP((H168/F168*30.4),TARIFA,3)+VLOOKUP((H168/F168*30.4),TARIFA,2)-VLOOKUP((H168/F168*30.4),SUBSIDIO,2))/30.4*F168,2),0),0)</f>
        <v>0</v>
      </c>
      <c r="J168" s="376">
        <f>IFERROR(IF(ROUND((((H168/F168*30.4)-VLOOKUP((H168/F168*30.4),TARIFA,1))*VLOOKUP((H168/F168*30.4),TARIFA,3)+VLOOKUP((H168/F168*30.4),TARIFA,2)-VLOOKUP((H168/F168*30.4),SUBSIDIO,2))/30.4*F168,2)&gt;0,ROUND((((H168/F168*30.4)-VLOOKUP((H168/F168*30.4),TARIFA,1))*VLOOKUP((H168/F168*30.4),TARIFA,3)+VLOOKUP((H168/F168*30.4),TARIFA,2)-VLOOKUP((H168/F168*30.4),SUBSIDIO,2))/30.4*F168,2),0),0)</f>
        <v>287.83</v>
      </c>
      <c r="K168" s="376">
        <v>0</v>
      </c>
      <c r="L168" s="376">
        <f t="shared" ref="L168" si="83">H168+I168-J168</f>
        <v>3600.17</v>
      </c>
      <c r="M168" s="18"/>
      <c r="P168" s="46"/>
      <c r="Q168" s="48"/>
    </row>
    <row r="169" spans="4:17" ht="60" hidden="1" customHeight="1" x14ac:dyDescent="0.4">
      <c r="D169" s="383"/>
      <c r="E169" s="371"/>
      <c r="F169" s="373"/>
      <c r="G169" s="380"/>
      <c r="H169" s="376"/>
      <c r="I169" s="375"/>
      <c r="J169" s="375"/>
      <c r="K169" s="376"/>
      <c r="L169" s="376"/>
      <c r="M169" s="18"/>
      <c r="P169" s="46"/>
      <c r="Q169" s="48"/>
    </row>
    <row r="170" spans="4:17" ht="60" hidden="1" customHeight="1" x14ac:dyDescent="0.4">
      <c r="D170" s="371"/>
      <c r="E170" s="371"/>
      <c r="F170" s="373">
        <v>15</v>
      </c>
      <c r="G170" s="374">
        <v>0</v>
      </c>
      <c r="H170" s="374">
        <v>0</v>
      </c>
      <c r="I170" s="375">
        <f>IFERROR(IF(ROUND((((H170/F170*30.4)-VLOOKUP((H170/F170*30.4),TARIFA,1))*VLOOKUP((H170/F170*30.4),TARIFA,3)+VLOOKUP((H170/F170*30.4),TARIFA,2)-VLOOKUP((H170/F170*30.4),SUBSIDIO,2))/30.4*F170,2)&lt;0,ROUND(-(((H170/F170*30.4)-VLOOKUP((H170/F170*30.4),TARIFA,1))*VLOOKUP((H170/F170*30.4),TARIFA,3)+VLOOKUP((H170/F170*30.4),TARIFA,2)-VLOOKUP((H170/F170*30.4),SUBSIDIO,2))/30.4*F170,2),0),0)</f>
        <v>0</v>
      </c>
      <c r="J170" s="376">
        <f>IFERROR(IF(ROUND((((H170/F170*30.4)-VLOOKUP((H170/F170*30.4),TARIFA,1))*VLOOKUP((H170/F170*30.4),TARIFA,3)+VLOOKUP((H170/F170*30.4),TARIFA,2)-VLOOKUP((H170/F170*30.4),SUBSIDIO,2))/30.4*F170,2)&gt;0,ROUND((((H170/F170*30.4)-VLOOKUP((H170/F170*30.4),TARIFA,1))*VLOOKUP((H170/F170*30.4),TARIFA,3)+VLOOKUP((H170/F170*30.4),TARIFA,2)-VLOOKUP((H170/F170*30.4),SUBSIDIO,2))/30.4*F170,2),0),0)</f>
        <v>0</v>
      </c>
      <c r="K170" s="376">
        <v>0</v>
      </c>
      <c r="L170" s="376">
        <f t="shared" ref="L170" si="84">H170+I170-J170</f>
        <v>0</v>
      </c>
      <c r="M170" s="18"/>
      <c r="P170" s="46"/>
      <c r="Q170" s="48"/>
    </row>
    <row r="171" spans="4:17" ht="60" hidden="1" customHeight="1" x14ac:dyDescent="0.4">
      <c r="D171" s="371"/>
      <c r="E171" s="372"/>
      <c r="F171" s="373">
        <v>15</v>
      </c>
      <c r="G171" s="380">
        <v>0</v>
      </c>
      <c r="H171" s="376">
        <v>0</v>
      </c>
      <c r="I171" s="375"/>
      <c r="J171" s="375">
        <f>IFERROR(IF(ROUND((((H171/F171*30.4)-VLOOKUP((H171/F171*30.4),TARIFA,1))*VLOOKUP((H171/F171*30.4),TARIFA,3)+VLOOKUP((H171/F171*30.4),TARIFA,2)-VLOOKUP((H171/F171*30.4),SUBSIDIO,2))/30.4*F171,2)&gt;0,ROUND((((H171/F171*30.4)-VLOOKUP((H171/F171*30.4),TARIFA,1))*VLOOKUP((H171/F171*30.4),TARIFA,3)+VLOOKUP((H171/F171*30.4),TARIFA,2)-VLOOKUP((H171/F171*30.4),SUBSIDIO,2))/30.4*F171,2),0),0)</f>
        <v>0</v>
      </c>
      <c r="K171" s="376"/>
      <c r="L171" s="376">
        <f t="shared" ref="L171" si="85">H171+I171-J171-K171</f>
        <v>0</v>
      </c>
      <c r="M171" s="18"/>
      <c r="P171" s="46"/>
      <c r="Q171" s="48"/>
    </row>
    <row r="172" spans="4:17" ht="39.9" customHeight="1" thickBot="1" x14ac:dyDescent="0.45">
      <c r="D172" s="104"/>
      <c r="E172" s="324"/>
      <c r="F172" s="325" t="s">
        <v>5</v>
      </c>
      <c r="G172" s="429">
        <f>G183+G122+G84+G42</f>
        <v>267347</v>
      </c>
      <c r="H172" s="429">
        <f t="shared" ref="H172:J172" si="86">H183+H122+H84+H42</f>
        <v>267347</v>
      </c>
      <c r="I172" s="429">
        <f t="shared" si="86"/>
        <v>1158.0400000000002</v>
      </c>
      <c r="J172" s="429">
        <f t="shared" si="86"/>
        <v>14135.259999999997</v>
      </c>
      <c r="K172" s="429" t="e">
        <f>K171+#REF!+#REF!+K163+#REF!+K158+K156+K155+K153+K147+K146+K145+#REF!+K143+K142+K141+K140+K139+K138+K136+#REF!+#REF!+K112+K104+K98+K94+#REF!+K83+K82+K79+K78+K77+K76+K75+K74+K73+K72+K71+#REF!+#REF!+K70+K69+K68+K67+#REF!+K66+#REF!+K65+K64+#REF!+#REF!+#REF!+#REF!+#REF!+#REF!+#REF!+K39+#REF!+K33+K32+K31+K27+K26+#REF!+K16+#REF!+K14+K13</f>
        <v>#REF!</v>
      </c>
      <c r="L172" s="429">
        <f>L182+L122+L84+L42</f>
        <v>254369.78</v>
      </c>
      <c r="M172" s="3"/>
      <c r="P172" s="48"/>
      <c r="Q172" s="48"/>
    </row>
    <row r="173" spans="4:17" ht="13.8" thickTop="1" x14ac:dyDescent="0.25">
      <c r="G173" s="143"/>
      <c r="H173" s="143"/>
      <c r="I173" s="216"/>
      <c r="J173" s="216"/>
      <c r="L173" s="10"/>
    </row>
    <row r="174" spans="4:17" x14ac:dyDescent="0.25">
      <c r="E174" s="2"/>
      <c r="F174" s="2"/>
      <c r="G174" s="140">
        <f>SUM(G136:G171)</f>
        <v>53804</v>
      </c>
      <c r="H174" s="141">
        <f>SUM(H136:H171)</f>
        <v>53804</v>
      </c>
      <c r="I174" s="217">
        <f>SUM(I136:I171)</f>
        <v>1127.6000000000001</v>
      </c>
      <c r="J174" s="217">
        <f>SUM(J135:J171)</f>
        <v>1991.8899999999999</v>
      </c>
      <c r="K174" s="129"/>
      <c r="L174" s="128">
        <f>SUM(L136:L171)</f>
        <v>52939.71</v>
      </c>
    </row>
    <row r="175" spans="4:17" x14ac:dyDescent="0.25">
      <c r="E175" s="2"/>
      <c r="F175" s="2"/>
      <c r="G175" s="140">
        <f>G174+G122+G84+G42</f>
        <v>267347</v>
      </c>
      <c r="H175" s="141">
        <f>H174+H122+H84+H42</f>
        <v>267347</v>
      </c>
      <c r="I175" s="217">
        <f>I174+I122+I84+I42</f>
        <v>1158.0400000000002</v>
      </c>
      <c r="J175" s="217">
        <f>J174+J122+J84+J42</f>
        <v>14135.259999999997</v>
      </c>
      <c r="K175" s="129"/>
      <c r="L175" s="128"/>
      <c r="M175" s="10"/>
    </row>
    <row r="176" spans="4:17" x14ac:dyDescent="0.25">
      <c r="E176" s="2"/>
      <c r="F176" s="2"/>
      <c r="G176" s="142"/>
      <c r="H176" s="142"/>
      <c r="I176" s="217">
        <f>I174+I122+I84+I42</f>
        <v>1158.0400000000002</v>
      </c>
      <c r="J176" s="217">
        <f>J174+J122+J84+J42</f>
        <v>14135.259999999997</v>
      </c>
      <c r="K176" s="129"/>
      <c r="L176" s="129"/>
    </row>
    <row r="177" spans="4:13" x14ac:dyDescent="0.25">
      <c r="D177" s="1" t="s">
        <v>96</v>
      </c>
      <c r="E177" s="2"/>
      <c r="F177" s="2"/>
      <c r="G177" s="141"/>
      <c r="H177" s="144"/>
      <c r="I177" s="217"/>
      <c r="J177" s="217"/>
      <c r="L177" s="53"/>
      <c r="M177" s="53"/>
    </row>
    <row r="178" spans="4:13" ht="20.399999999999999" x14ac:dyDescent="0.35">
      <c r="D178" s="427" t="s">
        <v>348</v>
      </c>
      <c r="E178" s="27"/>
      <c r="F178" s="27"/>
      <c r="G178" s="135"/>
      <c r="H178" s="135"/>
      <c r="I178" s="218"/>
      <c r="J178" s="218"/>
      <c r="K178" s="14"/>
      <c r="L178" s="470" t="s">
        <v>347</v>
      </c>
      <c r="M178" s="470"/>
    </row>
    <row r="179" spans="4:13" ht="21" x14ac:dyDescent="0.4">
      <c r="D179" s="428" t="s">
        <v>9</v>
      </c>
      <c r="E179" s="28"/>
      <c r="F179" s="28"/>
      <c r="G179" s="135"/>
      <c r="H179" s="135"/>
      <c r="I179" s="218"/>
      <c r="J179" s="218"/>
      <c r="K179" s="28"/>
      <c r="L179" s="463" t="s">
        <v>133</v>
      </c>
      <c r="M179" s="463"/>
    </row>
    <row r="180" spans="4:13" s="14" customFormat="1" x14ac:dyDescent="0.25">
      <c r="D180" s="1"/>
      <c r="E180" s="1"/>
      <c r="F180" s="2"/>
      <c r="G180" s="7"/>
      <c r="H180" s="7"/>
      <c r="I180" s="219"/>
      <c r="J180" s="219"/>
      <c r="K180" s="1"/>
      <c r="L180" s="1"/>
      <c r="M180" s="1"/>
    </row>
    <row r="181" spans="4:13" s="14" customFormat="1" x14ac:dyDescent="0.25">
      <c r="D181" s="30"/>
      <c r="E181" s="28"/>
      <c r="F181" s="28"/>
      <c r="G181" s="28"/>
      <c r="H181" s="28"/>
      <c r="I181" s="213"/>
      <c r="J181" s="213"/>
      <c r="K181" s="28"/>
      <c r="L181" s="127"/>
      <c r="M181" s="28"/>
    </row>
    <row r="182" spans="4:13" x14ac:dyDescent="0.25">
      <c r="F182" s="2"/>
      <c r="G182" s="2"/>
      <c r="H182" s="2"/>
      <c r="I182" s="220"/>
      <c r="J182" s="220"/>
      <c r="L182" s="48">
        <f>L171+L170+L168+L166+L165+L163+L161+L159+L156+L153+L152+L150+L149+L148+L147+L146+L145+L144+L143+L142+L141+L140+L139+L138+L136</f>
        <v>52939.709999999977</v>
      </c>
    </row>
    <row r="183" spans="4:13" x14ac:dyDescent="0.25">
      <c r="G183" s="302">
        <f>G168+G166+G165+G163+G161+G159+G156+G153+G152+G150+G149+G148+G147+G146+G145+G144+G143+G142+G141+G140+G139+G138+G136</f>
        <v>53804</v>
      </c>
      <c r="H183" s="302">
        <f t="shared" ref="H183:K183" si="87">SUM(H136:H171)</f>
        <v>53804</v>
      </c>
      <c r="I183" s="302">
        <f t="shared" si="87"/>
        <v>1127.6000000000001</v>
      </c>
      <c r="J183" s="302">
        <f t="shared" si="87"/>
        <v>1991.8899999999999</v>
      </c>
      <c r="K183" s="302">
        <f t="shared" si="87"/>
        <v>0</v>
      </c>
      <c r="L183" s="302">
        <f>SUM(L136:L171)</f>
        <v>52939.71</v>
      </c>
    </row>
    <row r="184" spans="4:13" x14ac:dyDescent="0.25">
      <c r="G184" s="2"/>
      <c r="H184" s="2"/>
      <c r="I184" s="220"/>
      <c r="J184" s="220"/>
      <c r="L184" s="10"/>
    </row>
    <row r="185" spans="4:13" x14ac:dyDescent="0.25">
      <c r="G185" s="2"/>
      <c r="H185" s="2"/>
      <c r="I185" s="220"/>
      <c r="J185" s="220"/>
      <c r="L185" s="48">
        <f>L168+L166+L165+L163+L161+L159+L156+L153+L152+L150+L149+L148+L147+L146+L145+L144+L143+L142+L141+L140+L138+L139+L136</f>
        <v>52939.709999999977</v>
      </c>
    </row>
    <row r="187" spans="4:13" x14ac:dyDescent="0.25">
      <c r="G187" s="302">
        <f>G171+G170+G168+G166+G165+G163+G161+G159+G156+G153+G152+G147+G146+G145+G144+G143+G142+G141+G140+G139+G138+G136+G119+G112+G111+G107+G105+G102+G100+G98+G96+G94+G81+G79+G78+G77+G76+G75+G74+G73+G72+G71+G70+G69+G68+G67+G66+G65+G64+G63+G61+G59+G58+G56+G55+G53+G52+G39+G38+G36+G33+G29+G27+G24+G23+G22+G20+G18+G16+G14+G13+G12</f>
        <v>231200</v>
      </c>
      <c r="L187" s="10"/>
    </row>
    <row r="188" spans="4:13" x14ac:dyDescent="0.25">
      <c r="L188" s="10"/>
    </row>
    <row r="190" spans="4:13" x14ac:dyDescent="0.25">
      <c r="L190" s="48">
        <f>L183+L123+L84+L42</f>
        <v>206873.28000000003</v>
      </c>
    </row>
    <row r="191" spans="4:13" x14ac:dyDescent="0.25">
      <c r="L191" s="10"/>
    </row>
    <row r="193" spans="12:12" x14ac:dyDescent="0.25">
      <c r="L193" s="48"/>
    </row>
    <row r="194" spans="12:12" x14ac:dyDescent="0.25">
      <c r="L194" s="48">
        <f>L182+L122+L84+L42</f>
        <v>254369.78</v>
      </c>
    </row>
  </sheetData>
  <sheetProtection selectLockedCells="1" selectUnlockedCells="1"/>
  <mergeCells count="22">
    <mergeCell ref="L179:M179"/>
    <mergeCell ref="G47:I47"/>
    <mergeCell ref="D127:M127"/>
    <mergeCell ref="G131:I131"/>
    <mergeCell ref="L178:M178"/>
    <mergeCell ref="D88:M88"/>
    <mergeCell ref="G89:I89"/>
    <mergeCell ref="D130:M130"/>
    <mergeCell ref="D85:M85"/>
    <mergeCell ref="D128:M128"/>
    <mergeCell ref="D129:M129"/>
    <mergeCell ref="D86:M86"/>
    <mergeCell ref="D87:M87"/>
    <mergeCell ref="D43:M43"/>
    <mergeCell ref="D44:M44"/>
    <mergeCell ref="D45:M45"/>
    <mergeCell ref="D46:M46"/>
    <mergeCell ref="D3:M3"/>
    <mergeCell ref="D5:M5"/>
    <mergeCell ref="G7:I7"/>
    <mergeCell ref="D6:M6"/>
    <mergeCell ref="D4:M4"/>
  </mergeCells>
  <phoneticPr fontId="0" type="noConversion"/>
  <pageMargins left="0" right="0" top="0" bottom="0" header="0.15748031496062992" footer="0.31496062992125984"/>
  <pageSetup scale="2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Q86"/>
  <sheetViews>
    <sheetView tabSelected="1" zoomScale="82" zoomScaleNormal="82" workbookViewId="0">
      <selection activeCell="D1" sqref="D1:E1048576"/>
    </sheetView>
  </sheetViews>
  <sheetFormatPr baseColWidth="10" defaultColWidth="11.44140625" defaultRowHeight="13.2" x14ac:dyDescent="0.25"/>
  <cols>
    <col min="1" max="1" width="4.6640625" style="14" customWidth="1"/>
    <col min="2" max="3" width="5.109375" style="14" customWidth="1"/>
    <col min="4" max="4" width="48.44140625" style="14" customWidth="1"/>
    <col min="5" max="5" width="47.44140625" style="14" customWidth="1"/>
    <col min="6" max="6" width="5.88671875" style="14" customWidth="1"/>
    <col min="7" max="8" width="14.5546875" style="14" bestFit="1" customWidth="1"/>
    <col min="9" max="9" width="14" style="14" bestFit="1" customWidth="1"/>
    <col min="10" max="10" width="13.88671875" style="14" bestFit="1" customWidth="1"/>
    <col min="11" max="11" width="15.44140625" style="14" customWidth="1"/>
    <col min="12" max="12" width="90.44140625" style="14" customWidth="1"/>
    <col min="13" max="13" width="5.6640625" style="14" customWidth="1"/>
    <col min="14" max="14" width="11.44140625" style="14"/>
    <col min="15" max="15" width="12.88671875" style="14" bestFit="1" customWidth="1"/>
    <col min="16" max="16384" width="11.44140625" style="14"/>
  </cols>
  <sheetData>
    <row r="1" spans="2:17" ht="5.25" customHeight="1" x14ac:dyDescent="0.2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7" ht="15.75" customHeight="1" x14ac:dyDescent="0.25">
      <c r="B2" s="33"/>
      <c r="C2" s="33"/>
      <c r="D2" s="41"/>
      <c r="E2" s="41"/>
      <c r="F2" s="41"/>
      <c r="G2" s="41"/>
      <c r="H2" s="41"/>
      <c r="I2" s="41"/>
      <c r="J2" s="41"/>
      <c r="K2" s="41"/>
      <c r="L2" s="42"/>
    </row>
    <row r="3" spans="2:17" ht="20.100000000000001" customHeight="1" x14ac:dyDescent="0.6">
      <c r="B3" s="33"/>
      <c r="C3" s="33"/>
      <c r="D3" s="476"/>
      <c r="E3" s="476"/>
      <c r="F3" s="476"/>
      <c r="G3" s="476"/>
      <c r="H3" s="476"/>
      <c r="I3" s="476"/>
      <c r="J3" s="476"/>
      <c r="K3" s="476"/>
      <c r="L3" s="477"/>
    </row>
    <row r="4" spans="2:17" ht="20.100000000000001" customHeight="1" x14ac:dyDescent="0.6">
      <c r="B4" s="33"/>
      <c r="C4" s="33"/>
      <c r="D4" s="476"/>
      <c r="E4" s="476"/>
      <c r="F4" s="476"/>
      <c r="G4" s="476"/>
      <c r="H4" s="476"/>
      <c r="I4" s="476"/>
      <c r="J4" s="476"/>
      <c r="K4" s="476"/>
      <c r="L4" s="477"/>
    </row>
    <row r="5" spans="2:17" ht="20.100000000000001" customHeight="1" x14ac:dyDescent="0.6">
      <c r="B5" s="33"/>
      <c r="C5" s="33"/>
      <c r="D5" s="476"/>
      <c r="E5" s="476"/>
      <c r="F5" s="476"/>
      <c r="G5" s="476"/>
      <c r="H5" s="476"/>
      <c r="I5" s="476"/>
      <c r="J5" s="476"/>
      <c r="K5" s="476"/>
      <c r="L5" s="477"/>
    </row>
    <row r="6" spans="2:17" ht="21.75" customHeight="1" x14ac:dyDescent="0.6">
      <c r="B6" s="33"/>
      <c r="C6" s="33"/>
      <c r="D6" s="476"/>
      <c r="E6" s="476"/>
      <c r="F6" s="476"/>
      <c r="G6" s="476"/>
      <c r="H6" s="476"/>
      <c r="I6" s="476"/>
      <c r="J6" s="476"/>
      <c r="K6" s="476"/>
      <c r="L6" s="477"/>
    </row>
    <row r="7" spans="2:17" x14ac:dyDescent="0.25">
      <c r="D7" s="303"/>
      <c r="E7" s="303"/>
      <c r="F7" s="304"/>
      <c r="G7" s="305"/>
      <c r="H7" s="478"/>
      <c r="I7" s="479"/>
      <c r="J7" s="479"/>
      <c r="K7" s="479"/>
      <c r="L7" s="480"/>
    </row>
    <row r="8" spans="2:17" x14ac:dyDescent="0.25">
      <c r="D8" s="306"/>
      <c r="E8" s="306"/>
      <c r="F8" s="306"/>
      <c r="G8" s="307" t="s">
        <v>1</v>
      </c>
      <c r="H8" s="308" t="s">
        <v>121</v>
      </c>
      <c r="I8" s="308" t="s">
        <v>124</v>
      </c>
      <c r="J8" s="308"/>
      <c r="K8" s="306" t="s">
        <v>130</v>
      </c>
      <c r="L8" s="306"/>
    </row>
    <row r="9" spans="2:17" ht="24" x14ac:dyDescent="0.25">
      <c r="D9" s="307"/>
      <c r="E9" s="307" t="s">
        <v>8</v>
      </c>
      <c r="F9" s="309" t="s">
        <v>157</v>
      </c>
      <c r="G9" s="306" t="s">
        <v>122</v>
      </c>
      <c r="H9" s="307" t="s">
        <v>123</v>
      </c>
      <c r="I9" s="307" t="s">
        <v>125</v>
      </c>
      <c r="J9" s="307" t="s">
        <v>126</v>
      </c>
      <c r="K9" s="306" t="s">
        <v>129</v>
      </c>
      <c r="L9" s="306" t="s">
        <v>128</v>
      </c>
    </row>
    <row r="10" spans="2:17" ht="17.399999999999999" x14ac:dyDescent="0.3">
      <c r="D10" s="310" t="s">
        <v>53</v>
      </c>
      <c r="E10" s="308" t="s">
        <v>7</v>
      </c>
      <c r="F10" s="308"/>
      <c r="G10" s="308"/>
      <c r="H10" s="308"/>
      <c r="I10" s="308"/>
      <c r="J10" s="308"/>
      <c r="K10" s="308"/>
      <c r="L10" s="308"/>
    </row>
    <row r="11" spans="2:17" ht="35.1" customHeight="1" x14ac:dyDescent="0.3">
      <c r="D11" s="326" t="s">
        <v>53</v>
      </c>
      <c r="E11" s="327" t="s">
        <v>320</v>
      </c>
      <c r="F11" s="327">
        <v>15</v>
      </c>
      <c r="G11" s="328">
        <v>8868</v>
      </c>
      <c r="H11" s="328">
        <f>G11</f>
        <v>8868</v>
      </c>
      <c r="I11" s="329">
        <f t="shared" ref="I11:I18" si="0">IFERROR(IF(ROUND((((H11/F11*30.4)-VLOOKUP((H11/F11*30.4),TARIFA,1))*VLOOKUP((H11/F11*30.4),TARIFA,3)+VLOOKUP((H11/F11*30.4),TARIFA,2)-VLOOKUP((H11/F11*30.4),SUBSIDIO,2))/30.4*F11,2)&lt;0,ROUND(-(((H11/F11*30.4)-VLOOKUP((H11/F11*30.4),TARIFA,1))*VLOOKUP((H11/F11*30.4),TARIFA,3)+VLOOKUP((H11/F11*30.4),TARIFA,2)-VLOOKUP((H11/F11*30.4),SUBSIDIO,2))/30.4*F11,2),0),0)</f>
        <v>0</v>
      </c>
      <c r="J11" s="329">
        <f>IFERROR(IF(ROUND((((H11/F11*30.4)-VLOOKUP((H11/F11*30.4),TARIFA,1))*VLOOKUP((H11/F11*30.4),TARIFA,3)+VLOOKUP((H11/F11*30.4),TARIFA,2)-VLOOKUP((H11/F11*30.4),SUBSIDIO,2))/30.4*F11,2)&gt;0,ROUND((((H11/F11*30.4)-VLOOKUP((H11/F11*30.4),TARIFA,1))*VLOOKUP((H11/F11*30.4),TARIFA,3)+VLOOKUP((H11/F11*30.4),TARIFA,2)-VLOOKUP((H11/F11*30.4),SUBSIDIO,2))/30.4*F11,2),0),0)</f>
        <v>1183.0999999999999</v>
      </c>
      <c r="K11" s="328">
        <f>H11+I11-J11</f>
        <v>7684.9</v>
      </c>
      <c r="L11" s="105"/>
      <c r="O11" s="43">
        <v>13600</v>
      </c>
      <c r="P11" s="44">
        <f>O11/2</f>
        <v>6800</v>
      </c>
      <c r="Q11" s="14">
        <f>K11/15</f>
        <v>512.3266666666666</v>
      </c>
    </row>
    <row r="12" spans="2:17" ht="35.1" customHeight="1" x14ac:dyDescent="0.3">
      <c r="D12" s="326" t="s">
        <v>53</v>
      </c>
      <c r="E12" s="327" t="s">
        <v>321</v>
      </c>
      <c r="F12" s="327">
        <v>15</v>
      </c>
      <c r="G12" s="328">
        <v>7200</v>
      </c>
      <c r="H12" s="328">
        <f>G12</f>
        <v>7200</v>
      </c>
      <c r="I12" s="329">
        <f t="shared" si="0"/>
        <v>0</v>
      </c>
      <c r="J12" s="329">
        <f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826.82</v>
      </c>
      <c r="K12" s="328">
        <f>H12+I12-J12</f>
        <v>6373.18</v>
      </c>
      <c r="L12" s="105"/>
      <c r="O12" s="43"/>
      <c r="P12" s="44"/>
    </row>
    <row r="13" spans="2:17" ht="35.1" customHeight="1" x14ac:dyDescent="0.3">
      <c r="D13" s="326" t="s">
        <v>53</v>
      </c>
      <c r="E13" s="327" t="s">
        <v>322</v>
      </c>
      <c r="F13" s="327">
        <v>15</v>
      </c>
      <c r="G13" s="328">
        <v>7000</v>
      </c>
      <c r="H13" s="328">
        <f>G13</f>
        <v>7000</v>
      </c>
      <c r="I13" s="329">
        <f t="shared" si="0"/>
        <v>0</v>
      </c>
      <c r="J13" s="329">
        <f>IFERROR(IF(ROUND((((H13/F13*30.4)-VLOOKUP((H13/F13*30.4),TARIFA,1))*VLOOKUP((H13/F13*30.4),TARIFA,3)+VLOOKUP((H13/F13*30.4),TARIFA,2)-VLOOKUP((H13/F13*30.4),SUBSIDIO,2))/30.4*F13,2)&gt;0,ROUND((((H13/F13*30.4)-VLOOKUP((H13/F13*30.4),TARIFA,1))*VLOOKUP((H13/F13*30.4),TARIFA,3)+VLOOKUP((H13/F13*30.4),TARIFA,2)-VLOOKUP((H13/F13*30.4),SUBSIDIO,2))/30.4*F13,2),0),0)</f>
        <v>784.1</v>
      </c>
      <c r="K13" s="328">
        <f>H13+I13-J13</f>
        <v>6215.9</v>
      </c>
      <c r="L13" s="105"/>
      <c r="O13" s="43"/>
      <c r="P13" s="44"/>
    </row>
    <row r="14" spans="2:17" ht="35.1" customHeight="1" x14ac:dyDescent="0.3">
      <c r="D14" s="326" t="s">
        <v>53</v>
      </c>
      <c r="E14" s="330" t="s">
        <v>145</v>
      </c>
      <c r="F14" s="327">
        <v>15</v>
      </c>
      <c r="G14" s="328">
        <v>5156</v>
      </c>
      <c r="H14" s="328">
        <v>5156</v>
      </c>
      <c r="I14" s="329">
        <f t="shared" si="0"/>
        <v>0</v>
      </c>
      <c r="J14" s="329">
        <f>IFERROR(IF(ROUND((((H14/F14*30.4)-VLOOKUP((H14/F14*30.4),TARIFA,1))*VLOOKUP((H14/F14*30.4),TARIFA,3)+VLOOKUP((H14/F14*30.4),TARIFA,2)-VLOOKUP((H14/F14*30.4),SUBSIDIO,2))/30.4*F14,2)&gt;0,ROUND((((H14/F14*30.4)-VLOOKUP((H14/F14*30.4),TARIFA,1))*VLOOKUP((H14/F14*30.4),TARIFA,3)+VLOOKUP((H14/F14*30.4),TARIFA,2)-VLOOKUP((H14/F14*30.4),SUBSIDIO,2))/30.4*F14,2),0),0)</f>
        <v>446.88</v>
      </c>
      <c r="K14" s="328">
        <f t="shared" ref="K14:K27" si="1">H14+I14-J14</f>
        <v>4709.12</v>
      </c>
      <c r="L14" s="105"/>
      <c r="O14" s="43"/>
      <c r="P14" s="44"/>
    </row>
    <row r="15" spans="2:17" ht="35.1" customHeight="1" x14ac:dyDescent="0.3">
      <c r="D15" s="326" t="s">
        <v>53</v>
      </c>
      <c r="E15" s="327" t="s">
        <v>145</v>
      </c>
      <c r="F15" s="327">
        <v>15</v>
      </c>
      <c r="G15" s="328">
        <v>5156</v>
      </c>
      <c r="H15" s="328">
        <v>5156</v>
      </c>
      <c r="I15" s="329">
        <v>0</v>
      </c>
      <c r="J15" s="329">
        <f>IFERROR(IF(ROUND((((H15/F15*30.4)-VLOOKUP((H15/F15*30.4),TARIFA,1))*VLOOKUP((H15/F15*30.4),TARIFA,3)+VLOOKUP((H15/F15*30.4),TARIFA,2)-VLOOKUP((H15/F15*30.4),SUBSIDIO,2))/30.4*F15,2)&gt;0,ROUND((((H15/F15*30.4)-VLOOKUP((H15/F15*30.4),TARIFA,1))*VLOOKUP((H15/F15*30.4),TARIFA,3)+VLOOKUP((H15/F15*30.4),TARIFA,2)-VLOOKUP((H15/F15*30.4),SUBSIDIO,2))/30.4*F15,2),0),0)</f>
        <v>446.88</v>
      </c>
      <c r="K15" s="328">
        <f t="shared" si="1"/>
        <v>4709.12</v>
      </c>
      <c r="L15" s="105"/>
      <c r="O15" s="43"/>
      <c r="P15" s="44"/>
    </row>
    <row r="16" spans="2:17" ht="35.1" customHeight="1" x14ac:dyDescent="0.3">
      <c r="D16" s="326" t="s">
        <v>53</v>
      </c>
      <c r="E16" s="332" t="s">
        <v>110</v>
      </c>
      <c r="F16" s="327">
        <v>15</v>
      </c>
      <c r="G16" s="328">
        <v>4385</v>
      </c>
      <c r="H16" s="328">
        <f>G16</f>
        <v>4385</v>
      </c>
      <c r="I16" s="329">
        <f t="shared" si="0"/>
        <v>0</v>
      </c>
      <c r="J16" s="329">
        <f t="shared" ref="J16:J18" si="2">IFERROR(IF(ROUND((((H16/F16*30.4)-VLOOKUP((H16/F16*30.4),TARIFA,1))*VLOOKUP((H16/F16*30.4),TARIFA,3)+VLOOKUP((H16/F16*30.4),TARIFA,2)-VLOOKUP((H16/F16*30.4),SUBSIDIO,2))/30.4*F16,2)&gt;0,ROUND((((H16/F16*30.4)-VLOOKUP((H16/F16*30.4),TARIFA,1))*VLOOKUP((H16/F16*30.4),TARIFA,3)+VLOOKUP((H16/F16*30.4),TARIFA,2)-VLOOKUP((H16/F16*30.4),SUBSIDIO,2))/30.4*F16,2),0),0)</f>
        <v>341.9</v>
      </c>
      <c r="K16" s="328">
        <f t="shared" si="1"/>
        <v>4043.1</v>
      </c>
      <c r="L16" s="105"/>
      <c r="O16" s="43">
        <v>7508</v>
      </c>
      <c r="P16" s="44">
        <f t="shared" ref="P16:P18" si="3">O16/2</f>
        <v>3754</v>
      </c>
    </row>
    <row r="17" spans="4:16" ht="35.1" customHeight="1" x14ac:dyDescent="0.3">
      <c r="D17" s="326" t="s">
        <v>53</v>
      </c>
      <c r="E17" s="331" t="s">
        <v>54</v>
      </c>
      <c r="F17" s="327">
        <v>15</v>
      </c>
      <c r="G17" s="328">
        <v>4760</v>
      </c>
      <c r="H17" s="328">
        <v>4760</v>
      </c>
      <c r="I17" s="329">
        <f t="shared" si="0"/>
        <v>0</v>
      </c>
      <c r="J17" s="329">
        <f t="shared" si="2"/>
        <v>383.52</v>
      </c>
      <c r="K17" s="328">
        <f t="shared" si="1"/>
        <v>4376.4799999999996</v>
      </c>
      <c r="L17" s="105"/>
      <c r="O17" s="43"/>
      <c r="P17" s="44"/>
    </row>
    <row r="18" spans="4:16" ht="35.1" customHeight="1" x14ac:dyDescent="0.3">
      <c r="D18" s="326" t="s">
        <v>53</v>
      </c>
      <c r="E18" s="331" t="s">
        <v>54</v>
      </c>
      <c r="F18" s="327">
        <v>15</v>
      </c>
      <c r="G18" s="328">
        <v>4760</v>
      </c>
      <c r="H18" s="328">
        <v>4760</v>
      </c>
      <c r="I18" s="329">
        <f t="shared" si="0"/>
        <v>0</v>
      </c>
      <c r="J18" s="329">
        <f t="shared" si="2"/>
        <v>383.52</v>
      </c>
      <c r="K18" s="328">
        <f t="shared" si="1"/>
        <v>4376.4799999999996</v>
      </c>
      <c r="L18" s="105"/>
      <c r="O18" s="43">
        <v>7800</v>
      </c>
      <c r="P18" s="44">
        <f t="shared" si="3"/>
        <v>3900</v>
      </c>
    </row>
    <row r="19" spans="4:16" ht="35.1" customHeight="1" x14ac:dyDescent="0.3">
      <c r="D19" s="326" t="s">
        <v>53</v>
      </c>
      <c r="E19" s="327" t="s">
        <v>54</v>
      </c>
      <c r="F19" s="327">
        <v>15</v>
      </c>
      <c r="G19" s="328">
        <v>4760</v>
      </c>
      <c r="H19" s="328">
        <v>4760</v>
      </c>
      <c r="I19" s="329">
        <f t="shared" ref="I19:I27" si="4">IFERROR(IF(ROUND((((H19/F19*30.4)-VLOOKUP((H19/F19*30.4),TARIFA,1))*VLOOKUP((H19/F19*30.4),TARIFA,3)+VLOOKUP((H19/F19*30.4),TARIFA,2)-VLOOKUP((H19/F19*30.4),SUBSIDIO,2))/30.4*F19,2)&lt;0,ROUND(-(((H19/F19*30.4)-VLOOKUP((H19/F19*30.4),TARIFA,1))*VLOOKUP((H19/F19*30.4),TARIFA,3)+VLOOKUP((H19/F19*30.4),TARIFA,2)-VLOOKUP((H19/F19*30.4),SUBSIDIO,2))/30.4*F19,2),0),0)</f>
        <v>0</v>
      </c>
      <c r="J19" s="329">
        <f t="shared" ref="J19:J27" si="5">IFERROR(IF(ROUND((((H19/F19*30.4)-VLOOKUP((H19/F19*30.4),TARIFA,1))*VLOOKUP((H19/F19*30.4),TARIFA,3)+VLOOKUP((H19/F19*30.4),TARIFA,2)-VLOOKUP((H19/F19*30.4),SUBSIDIO,2))/30.4*F19,2)&gt;0,ROUND((((H19/F19*30.4)-VLOOKUP((H19/F19*30.4),TARIFA,1))*VLOOKUP((H19/F19*30.4),TARIFA,3)+VLOOKUP((H19/F19*30.4),TARIFA,2)-VLOOKUP((H19/F19*30.4),SUBSIDIO,2))/30.4*F19,2),0),0)</f>
        <v>383.52</v>
      </c>
      <c r="K19" s="328">
        <f t="shared" si="1"/>
        <v>4376.4799999999996</v>
      </c>
      <c r="L19" s="106"/>
      <c r="O19" s="43" t="e">
        <f>#REF!*13</f>
        <v>#REF!</v>
      </c>
      <c r="P19" s="44"/>
    </row>
    <row r="20" spans="4:16" ht="35.1" customHeight="1" x14ac:dyDescent="0.3">
      <c r="D20" s="326" t="s">
        <v>53</v>
      </c>
      <c r="E20" s="331" t="s">
        <v>54</v>
      </c>
      <c r="F20" s="327">
        <v>15</v>
      </c>
      <c r="G20" s="328">
        <v>4760</v>
      </c>
      <c r="H20" s="328">
        <v>4760</v>
      </c>
      <c r="I20" s="329">
        <f t="shared" si="4"/>
        <v>0</v>
      </c>
      <c r="J20" s="329">
        <f t="shared" si="5"/>
        <v>383.52</v>
      </c>
      <c r="K20" s="328">
        <f t="shared" si="1"/>
        <v>4376.4799999999996</v>
      </c>
      <c r="L20" s="106"/>
      <c r="O20" s="43">
        <v>339.76</v>
      </c>
      <c r="P20" s="44"/>
    </row>
    <row r="21" spans="4:16" ht="35.1" customHeight="1" x14ac:dyDescent="0.3">
      <c r="D21" s="326" t="s">
        <v>53</v>
      </c>
      <c r="E21" s="327" t="s">
        <v>54</v>
      </c>
      <c r="F21" s="327">
        <v>15</v>
      </c>
      <c r="G21" s="328">
        <v>4760</v>
      </c>
      <c r="H21" s="328">
        <v>4760</v>
      </c>
      <c r="I21" s="329">
        <f t="shared" si="4"/>
        <v>0</v>
      </c>
      <c r="J21" s="329">
        <f t="shared" si="5"/>
        <v>383.52</v>
      </c>
      <c r="K21" s="328">
        <f t="shared" si="1"/>
        <v>4376.4799999999996</v>
      </c>
      <c r="L21" s="106"/>
      <c r="O21" s="43" t="e">
        <f>O19-#REF!</f>
        <v>#REF!</v>
      </c>
      <c r="P21" s="44"/>
    </row>
    <row r="22" spans="4:16" ht="35.1" customHeight="1" x14ac:dyDescent="0.3">
      <c r="D22" s="326" t="s">
        <v>53</v>
      </c>
      <c r="E22" s="327" t="s">
        <v>54</v>
      </c>
      <c r="F22" s="327">
        <v>10</v>
      </c>
      <c r="G22" s="328">
        <v>4760</v>
      </c>
      <c r="H22" s="328">
        <v>3173.33</v>
      </c>
      <c r="I22" s="329">
        <f t="shared" si="4"/>
        <v>0</v>
      </c>
      <c r="J22" s="329">
        <f t="shared" si="5"/>
        <v>255.68</v>
      </c>
      <c r="K22" s="328">
        <f t="shared" si="1"/>
        <v>2917.65</v>
      </c>
      <c r="L22" s="106"/>
      <c r="O22" s="43"/>
      <c r="P22" s="44"/>
    </row>
    <row r="23" spans="4:16" ht="35.1" customHeight="1" x14ac:dyDescent="0.3">
      <c r="D23" s="326" t="s">
        <v>53</v>
      </c>
      <c r="E23" s="327" t="s">
        <v>54</v>
      </c>
      <c r="F23" s="327">
        <v>15</v>
      </c>
      <c r="G23" s="328">
        <v>4760</v>
      </c>
      <c r="H23" s="328">
        <v>4760</v>
      </c>
      <c r="I23" s="329">
        <f t="shared" si="4"/>
        <v>0</v>
      </c>
      <c r="J23" s="329">
        <f t="shared" si="5"/>
        <v>383.52</v>
      </c>
      <c r="K23" s="328">
        <f t="shared" si="1"/>
        <v>4376.4799999999996</v>
      </c>
      <c r="L23" s="106"/>
      <c r="O23" s="43"/>
      <c r="P23" s="44"/>
    </row>
    <row r="24" spans="4:16" ht="35.1" customHeight="1" x14ac:dyDescent="0.3">
      <c r="D24" s="326" t="s">
        <v>53</v>
      </c>
      <c r="E24" s="327" t="s">
        <v>54</v>
      </c>
      <c r="F24" s="327">
        <v>15</v>
      </c>
      <c r="G24" s="328">
        <v>4760</v>
      </c>
      <c r="H24" s="328">
        <v>4760</v>
      </c>
      <c r="I24" s="329">
        <f t="shared" si="4"/>
        <v>0</v>
      </c>
      <c r="J24" s="329">
        <f t="shared" si="5"/>
        <v>383.52</v>
      </c>
      <c r="K24" s="328">
        <f t="shared" si="1"/>
        <v>4376.4799999999996</v>
      </c>
      <c r="L24" s="106"/>
      <c r="O24" s="43"/>
      <c r="P24" s="44"/>
    </row>
    <row r="25" spans="4:16" ht="35.1" customHeight="1" x14ac:dyDescent="0.3">
      <c r="D25" s="326" t="s">
        <v>53</v>
      </c>
      <c r="E25" s="327" t="s">
        <v>54</v>
      </c>
      <c r="F25" s="327">
        <v>15</v>
      </c>
      <c r="G25" s="328">
        <v>4760</v>
      </c>
      <c r="H25" s="328">
        <v>4760</v>
      </c>
      <c r="I25" s="329">
        <f t="shared" si="4"/>
        <v>0</v>
      </c>
      <c r="J25" s="329">
        <f t="shared" si="5"/>
        <v>383.52</v>
      </c>
      <c r="K25" s="328">
        <f t="shared" si="1"/>
        <v>4376.4799999999996</v>
      </c>
      <c r="L25" s="106"/>
      <c r="M25" s="27" t="s">
        <v>206</v>
      </c>
      <c r="O25" s="43"/>
      <c r="P25" s="44"/>
    </row>
    <row r="26" spans="4:16" ht="35.1" customHeight="1" x14ac:dyDescent="0.3">
      <c r="D26" s="326" t="s">
        <v>53</v>
      </c>
      <c r="E26" s="327" t="s">
        <v>54</v>
      </c>
      <c r="F26" s="327">
        <v>15</v>
      </c>
      <c r="G26" s="328">
        <v>4760</v>
      </c>
      <c r="H26" s="328">
        <v>4760</v>
      </c>
      <c r="I26" s="329">
        <f t="shared" si="4"/>
        <v>0</v>
      </c>
      <c r="J26" s="329">
        <f t="shared" si="5"/>
        <v>383.52</v>
      </c>
      <c r="K26" s="328">
        <f t="shared" si="1"/>
        <v>4376.4799999999996</v>
      </c>
      <c r="L26" s="221"/>
      <c r="M26" s="27" t="s">
        <v>207</v>
      </c>
      <c r="O26" s="43"/>
      <c r="P26" s="44"/>
    </row>
    <row r="27" spans="4:16" ht="35.1" customHeight="1" x14ac:dyDescent="0.3">
      <c r="D27" s="326" t="s">
        <v>53</v>
      </c>
      <c r="E27" s="327" t="s">
        <v>54</v>
      </c>
      <c r="F27" s="327">
        <v>15</v>
      </c>
      <c r="G27" s="328">
        <v>4760</v>
      </c>
      <c r="H27" s="328">
        <v>4760</v>
      </c>
      <c r="I27" s="329">
        <f t="shared" si="4"/>
        <v>0</v>
      </c>
      <c r="J27" s="329">
        <f t="shared" si="5"/>
        <v>383.52</v>
      </c>
      <c r="K27" s="328">
        <f t="shared" si="1"/>
        <v>4376.4799999999996</v>
      </c>
      <c r="L27" s="221"/>
      <c r="M27" s="27" t="s">
        <v>208</v>
      </c>
      <c r="O27" s="43"/>
      <c r="P27" s="44"/>
    </row>
    <row r="28" spans="4:16" ht="35.1" customHeight="1" x14ac:dyDescent="0.3">
      <c r="D28" s="326" t="s">
        <v>53</v>
      </c>
      <c r="E28" s="327" t="s">
        <v>54</v>
      </c>
      <c r="F28" s="327">
        <v>15</v>
      </c>
      <c r="G28" s="328">
        <v>4760</v>
      </c>
      <c r="H28" s="328">
        <v>4760</v>
      </c>
      <c r="I28" s="329">
        <v>0</v>
      </c>
      <c r="J28" s="329">
        <f t="shared" ref="J28:J30" si="6">IFERROR(IF(ROUND((((H28/F28*30.4)-VLOOKUP((H28/F28*30.4),TARIFA,1))*VLOOKUP((H28/F28*30.4),TARIFA,3)+VLOOKUP((H28/F28*30.4),TARIFA,2)-VLOOKUP((H28/F28*30.4),SUBSIDIO,2))/30.4*F28,2)&gt;0,ROUND((((H28/F28*30.4)-VLOOKUP((H28/F28*30.4),TARIFA,1))*VLOOKUP((H28/F28*30.4),TARIFA,3)+VLOOKUP((H28/F28*30.4),TARIFA,2)-VLOOKUP((H28/F28*30.4),SUBSIDIO,2))/30.4*F28,2),0),0)</f>
        <v>383.52</v>
      </c>
      <c r="K28" s="328">
        <f t="shared" ref="K28:K30" si="7">H28+I28-J28</f>
        <v>4376.4799999999996</v>
      </c>
      <c r="L28" s="221"/>
      <c r="M28" s="27"/>
      <c r="O28" s="43"/>
      <c r="P28" s="44"/>
    </row>
    <row r="29" spans="4:16" ht="35.1" customHeight="1" x14ac:dyDescent="0.3">
      <c r="D29" s="326" t="s">
        <v>53</v>
      </c>
      <c r="E29" s="327" t="s">
        <v>54</v>
      </c>
      <c r="F29" s="327">
        <v>15</v>
      </c>
      <c r="G29" s="328">
        <v>4760</v>
      </c>
      <c r="H29" s="328">
        <v>4760</v>
      </c>
      <c r="I29" s="329">
        <v>0</v>
      </c>
      <c r="J29" s="329">
        <f t="shared" si="6"/>
        <v>383.52</v>
      </c>
      <c r="K29" s="328">
        <f t="shared" si="7"/>
        <v>4376.4799999999996</v>
      </c>
      <c r="L29" s="221"/>
      <c r="M29" s="27" t="s">
        <v>213</v>
      </c>
      <c r="O29" s="43"/>
      <c r="P29" s="44"/>
    </row>
    <row r="30" spans="4:16" ht="35.1" customHeight="1" x14ac:dyDescent="0.3">
      <c r="D30" s="326" t="s">
        <v>53</v>
      </c>
      <c r="E30" s="327" t="s">
        <v>54</v>
      </c>
      <c r="F30" s="327">
        <v>15</v>
      </c>
      <c r="G30" s="328">
        <v>4760</v>
      </c>
      <c r="H30" s="328">
        <v>4760</v>
      </c>
      <c r="I30" s="329"/>
      <c r="J30" s="329">
        <f t="shared" si="6"/>
        <v>383.52</v>
      </c>
      <c r="K30" s="328">
        <f t="shared" si="7"/>
        <v>4376.4799999999996</v>
      </c>
      <c r="L30" s="221"/>
      <c r="M30" s="27" t="s">
        <v>221</v>
      </c>
      <c r="O30" s="43"/>
      <c r="P30" s="44"/>
    </row>
    <row r="31" spans="4:16" ht="35.1" customHeight="1" x14ac:dyDescent="0.3">
      <c r="D31" s="326" t="s">
        <v>53</v>
      </c>
      <c r="E31" s="327" t="s">
        <v>54</v>
      </c>
      <c r="F31" s="327">
        <v>15</v>
      </c>
      <c r="G31" s="328">
        <v>4760</v>
      </c>
      <c r="H31" s="328">
        <v>4760</v>
      </c>
      <c r="I31" s="329"/>
      <c r="J31" s="329">
        <f t="shared" ref="J31:J36" si="8">IFERROR(IF(ROUND((((H31/F31*30.4)-VLOOKUP((H31/F31*30.4),TARIFA,1))*VLOOKUP((H31/F31*30.4),TARIFA,3)+VLOOKUP((H31/F31*30.4),TARIFA,2)-VLOOKUP((H31/F31*30.4),SUBSIDIO,2))/30.4*F31,2)&gt;0,ROUND((((H31/F31*30.4)-VLOOKUP((H31/F31*30.4),TARIFA,1))*VLOOKUP((H31/F31*30.4),TARIFA,3)+VLOOKUP((H31/F31*30.4),TARIFA,2)-VLOOKUP((H31/F31*30.4),SUBSIDIO,2))/30.4*F31,2),0),0)</f>
        <v>383.52</v>
      </c>
      <c r="K31" s="328">
        <f t="shared" ref="K31:K33" si="9">H31+I31-J31</f>
        <v>4376.4799999999996</v>
      </c>
      <c r="L31" s="221"/>
      <c r="M31" s="27"/>
      <c r="O31" s="43"/>
      <c r="P31" s="44"/>
    </row>
    <row r="32" spans="4:16" ht="35.1" customHeight="1" x14ac:dyDescent="0.3">
      <c r="D32" s="326" t="s">
        <v>53</v>
      </c>
      <c r="E32" s="327" t="s">
        <v>54</v>
      </c>
      <c r="F32" s="327">
        <v>15</v>
      </c>
      <c r="G32" s="328">
        <v>4760</v>
      </c>
      <c r="H32" s="328">
        <v>4760</v>
      </c>
      <c r="I32" s="329">
        <f t="shared" ref="I32:I36" si="10">IFERROR(IF(ROUND((((H32/F32*30.4)-VLOOKUP((H32/F32*30.4),TARIFA,1))*VLOOKUP((H32/F32*30.4),TARIFA,3)+VLOOKUP((H32/F32*30.4),TARIFA,2)-VLOOKUP((H32/F32*30.4),SUBSIDIO,2))/30.4*F32,2)&lt;0,ROUND(-(((H32/F32*30.4)-VLOOKUP((H32/F32*30.4),TARIFA,1))*VLOOKUP((H32/F32*30.4),TARIFA,3)+VLOOKUP((H32/F32*30.4),TARIFA,2)-VLOOKUP((H32/F32*30.4),SUBSIDIO,2))/30.4*F32,2),0),0)</f>
        <v>0</v>
      </c>
      <c r="J32" s="329">
        <f t="shared" si="8"/>
        <v>383.52</v>
      </c>
      <c r="K32" s="328">
        <f t="shared" si="9"/>
        <v>4376.4799999999996</v>
      </c>
      <c r="L32" s="221"/>
      <c r="M32" s="27"/>
      <c r="O32" s="43"/>
      <c r="P32" s="44"/>
    </row>
    <row r="33" spans="4:16" ht="35.1" customHeight="1" x14ac:dyDescent="0.3">
      <c r="D33" s="326" t="s">
        <v>53</v>
      </c>
      <c r="E33" s="327" t="s">
        <v>54</v>
      </c>
      <c r="F33" s="327">
        <v>15</v>
      </c>
      <c r="G33" s="328">
        <v>4760</v>
      </c>
      <c r="H33" s="328">
        <v>4760</v>
      </c>
      <c r="I33" s="329">
        <f t="shared" si="10"/>
        <v>0</v>
      </c>
      <c r="J33" s="329">
        <f t="shared" si="8"/>
        <v>383.52</v>
      </c>
      <c r="K33" s="328">
        <f t="shared" si="9"/>
        <v>4376.4799999999996</v>
      </c>
      <c r="L33" s="221"/>
      <c r="M33" s="27"/>
      <c r="O33" s="43"/>
      <c r="P33" s="44"/>
    </row>
    <row r="34" spans="4:16" ht="35.1" customHeight="1" x14ac:dyDescent="0.3">
      <c r="D34" s="326" t="s">
        <v>53</v>
      </c>
      <c r="E34" s="327" t="s">
        <v>54</v>
      </c>
      <c r="F34" s="327">
        <v>15</v>
      </c>
      <c r="G34" s="328">
        <v>4760</v>
      </c>
      <c r="H34" s="328">
        <v>4760</v>
      </c>
      <c r="I34" s="329">
        <f t="shared" si="10"/>
        <v>0</v>
      </c>
      <c r="J34" s="329">
        <f t="shared" si="8"/>
        <v>383.52</v>
      </c>
      <c r="K34" s="328">
        <f t="shared" ref="K34:K36" si="11">H34+I34-J34</f>
        <v>4376.4799999999996</v>
      </c>
      <c r="L34" s="221"/>
      <c r="M34" s="27"/>
      <c r="O34" s="43"/>
      <c r="P34" s="44"/>
    </row>
    <row r="35" spans="4:16" ht="35.1" customHeight="1" x14ac:dyDescent="0.3">
      <c r="D35" s="326" t="s">
        <v>53</v>
      </c>
      <c r="E35" s="327" t="s">
        <v>54</v>
      </c>
      <c r="F35" s="327">
        <v>15</v>
      </c>
      <c r="G35" s="328">
        <v>4760</v>
      </c>
      <c r="H35" s="328">
        <v>4760</v>
      </c>
      <c r="I35" s="329">
        <f t="shared" si="10"/>
        <v>0</v>
      </c>
      <c r="J35" s="329">
        <f t="shared" si="8"/>
        <v>383.52</v>
      </c>
      <c r="K35" s="328">
        <f t="shared" si="11"/>
        <v>4376.4799999999996</v>
      </c>
      <c r="L35" s="221"/>
      <c r="M35" s="27"/>
      <c r="O35" s="43"/>
      <c r="P35" s="44"/>
    </row>
    <row r="36" spans="4:16" ht="35.1" customHeight="1" x14ac:dyDescent="0.3">
      <c r="D36" s="326" t="s">
        <v>53</v>
      </c>
      <c r="E36" s="327" t="s">
        <v>54</v>
      </c>
      <c r="F36" s="327">
        <v>6</v>
      </c>
      <c r="G36" s="328">
        <v>4760</v>
      </c>
      <c r="H36" s="328">
        <v>1904</v>
      </c>
      <c r="I36" s="329">
        <f t="shared" si="10"/>
        <v>0</v>
      </c>
      <c r="J36" s="329">
        <f t="shared" si="8"/>
        <v>153.41</v>
      </c>
      <c r="K36" s="328">
        <f t="shared" si="11"/>
        <v>1750.59</v>
      </c>
      <c r="L36" s="221"/>
      <c r="M36" s="27"/>
      <c r="O36" s="43"/>
      <c r="P36" s="44"/>
    </row>
    <row r="37" spans="4:16" ht="35.1" customHeight="1" x14ac:dyDescent="0.3">
      <c r="D37" s="334" t="s">
        <v>336</v>
      </c>
      <c r="E37" s="327"/>
      <c r="F37" s="327"/>
      <c r="G37" s="328"/>
      <c r="H37" s="328"/>
      <c r="I37" s="329"/>
      <c r="J37" s="329"/>
      <c r="K37" s="328"/>
      <c r="L37" s="221"/>
      <c r="M37" s="27"/>
      <c r="O37" s="43"/>
      <c r="P37" s="44"/>
    </row>
    <row r="38" spans="4:16" ht="35.1" customHeight="1" x14ac:dyDescent="0.3">
      <c r="D38" s="333" t="s">
        <v>53</v>
      </c>
      <c r="E38" s="331" t="s">
        <v>337</v>
      </c>
      <c r="F38" s="327">
        <v>15</v>
      </c>
      <c r="G38" s="328">
        <v>3908</v>
      </c>
      <c r="H38" s="328">
        <v>3908</v>
      </c>
      <c r="I38" s="329">
        <f t="shared" ref="I38:I39" si="12">IFERROR(IF(ROUND((((H38/F38*30.4)-VLOOKUP((H38/F38*30.4),TARIFA,1))*VLOOKUP((H38/F38*30.4),TARIFA,3)+VLOOKUP((H38/F38*30.4),TARIFA,2)-VLOOKUP((H38/F38*30.4),SUBSIDIO,2))/30.4*F38,2)&lt;0,ROUND(-(((H38/F38*30.4)-VLOOKUP((H38/F38*30.4),TARIFA,1))*VLOOKUP((H38/F38*30.4),TARIFA,3)+VLOOKUP((H38/F38*30.4),TARIFA,2)-VLOOKUP((H38/F38*30.4),SUBSIDIO,2))/30.4*F38,2),0),0)</f>
        <v>0</v>
      </c>
      <c r="J38" s="329">
        <f t="shared" ref="J38:J39" si="13">IFERROR(IF(ROUND((((H38/F38*30.4)-VLOOKUP((H38/F38*30.4),TARIFA,1))*VLOOKUP((H38/F38*30.4),TARIFA,3)+VLOOKUP((H38/F38*30.4),TARIFA,2)-VLOOKUP((H38/F38*30.4),SUBSIDIO,2))/30.4*F38,2)&gt;0,ROUND((((H38/F38*30.4)-VLOOKUP((H38/F38*30.4),TARIFA,1))*VLOOKUP((H38/F38*30.4),TARIFA,3)+VLOOKUP((H38/F38*30.4),TARIFA,2)-VLOOKUP((H38/F38*30.4),SUBSIDIO,2))/30.4*F38,2),0),0)</f>
        <v>290</v>
      </c>
      <c r="K38" s="328">
        <f t="shared" ref="K38:K39" si="14">H38+I38-J38</f>
        <v>3618</v>
      </c>
      <c r="L38" s="221"/>
      <c r="M38" s="27"/>
      <c r="O38" s="43"/>
      <c r="P38" s="44"/>
    </row>
    <row r="39" spans="4:16" ht="35.1" customHeight="1" x14ac:dyDescent="0.3">
      <c r="D39" s="331" t="s">
        <v>53</v>
      </c>
      <c r="E39" s="327" t="s">
        <v>220</v>
      </c>
      <c r="F39" s="327">
        <v>15</v>
      </c>
      <c r="G39" s="335">
        <v>3908</v>
      </c>
      <c r="H39" s="335">
        <v>3908</v>
      </c>
      <c r="I39" s="336">
        <f t="shared" si="12"/>
        <v>0</v>
      </c>
      <c r="J39" s="336">
        <f t="shared" si="13"/>
        <v>290</v>
      </c>
      <c r="K39" s="335">
        <f t="shared" si="14"/>
        <v>3618</v>
      </c>
      <c r="L39" s="25"/>
      <c r="O39" s="43"/>
    </row>
    <row r="40" spans="4:16" ht="26.1" customHeight="1" thickBot="1" x14ac:dyDescent="0.35">
      <c r="D40" s="431"/>
      <c r="E40" s="431"/>
      <c r="F40" s="239"/>
      <c r="G40" s="312">
        <f>G39+G38+G36+G35+G34+G33+G32+G31+G30+G29+G28+G27+G26+G25+G24+G23+G22+G21+G20+G19+G18+G17+G16+G15+G14+G13+G12+G11</f>
        <v>140781</v>
      </c>
      <c r="H40" s="312">
        <f>H39+H38+H36+H35+H34+H33+H32+H31+H30+H29+H28+H27+H26+H25+H24+H23+H22+H21+H20+H19+H18+H17+H16+H15+H14+H13+H12+H11</f>
        <v>136338.33000000002</v>
      </c>
      <c r="I40" s="312">
        <f>SUM(I11:I39)</f>
        <v>0</v>
      </c>
      <c r="J40" s="312">
        <f>J39+J38+J36+J35+J34+J33+J32+J31+J30+J29+J28+J27+J26+J25+J24+J23+J22+J21+J20+J19+J18+J17+J16+J15+J14+J13+J12+J11</f>
        <v>11922.130000000003</v>
      </c>
      <c r="K40" s="312">
        <f>K39+K38+K36+K35+K34+K33+K32+K31+K30+K29+K28+K27+K26+K25+K24+K23+K22+K21+K20+K19+K18+K17+K16+K15+K14+K13+K12+K11</f>
        <v>124416.19999999992</v>
      </c>
      <c r="L40" s="311"/>
      <c r="O40" s="43"/>
      <c r="P40" s="44">
        <f>SUM(P11:P39)</f>
        <v>14454</v>
      </c>
    </row>
    <row r="41" spans="4:16" ht="13.8" thickTop="1" x14ac:dyDescent="0.25">
      <c r="G41" s="35"/>
      <c r="O41" s="43"/>
    </row>
    <row r="42" spans="4:16" x14ac:dyDescent="0.25">
      <c r="O42" s="43"/>
    </row>
    <row r="43" spans="4:16" x14ac:dyDescent="0.25">
      <c r="O43" s="43"/>
    </row>
    <row r="44" spans="4:16" x14ac:dyDescent="0.25">
      <c r="D44" s="28" t="s">
        <v>97</v>
      </c>
      <c r="G44" s="28"/>
      <c r="H44" s="28"/>
      <c r="I44" s="28"/>
      <c r="J44" s="28"/>
      <c r="K44" s="54"/>
      <c r="L44" s="54"/>
      <c r="O44" s="43"/>
    </row>
    <row r="45" spans="4:16" x14ac:dyDescent="0.25">
      <c r="D45" s="27" t="s">
        <v>346</v>
      </c>
      <c r="K45" s="442" t="s">
        <v>350</v>
      </c>
      <c r="L45" s="442"/>
      <c r="O45" s="43"/>
    </row>
    <row r="46" spans="4:16" x14ac:dyDescent="0.25">
      <c r="D46" s="28" t="s">
        <v>9</v>
      </c>
      <c r="E46" s="28"/>
      <c r="F46" s="28"/>
      <c r="G46" s="28"/>
      <c r="H46" s="28"/>
      <c r="I46" s="28"/>
      <c r="J46" s="28"/>
      <c r="K46" s="443" t="s">
        <v>131</v>
      </c>
      <c r="L46" s="443"/>
      <c r="O46" s="43"/>
    </row>
    <row r="47" spans="4:16" x14ac:dyDescent="0.25">
      <c r="G47" s="59">
        <f>SUM(G11:G39)</f>
        <v>140781</v>
      </c>
      <c r="H47" s="59">
        <f t="shared" ref="H47:K47" si="15">SUM(H11:H39)</f>
        <v>136338.33000000002</v>
      </c>
      <c r="I47" s="59">
        <f t="shared" si="15"/>
        <v>0</v>
      </c>
      <c r="J47" s="59">
        <f t="shared" si="15"/>
        <v>11922.130000000008</v>
      </c>
      <c r="K47" s="59">
        <f t="shared" si="15"/>
        <v>124416.19999999994</v>
      </c>
      <c r="L47" s="43"/>
      <c r="O47" s="43"/>
    </row>
    <row r="48" spans="4:16" x14ac:dyDescent="0.25">
      <c r="L48" s="43"/>
    </row>
    <row r="49" spans="4:16" x14ac:dyDescent="0.25">
      <c r="L49" s="43"/>
    </row>
    <row r="50" spans="4:16" x14ac:dyDescent="0.25">
      <c r="L50" s="43"/>
    </row>
    <row r="51" spans="4:16" ht="17.399999999999999" x14ac:dyDescent="0.3">
      <c r="D51" s="486"/>
      <c r="E51" s="486"/>
      <c r="F51" s="486"/>
      <c r="G51" s="486"/>
      <c r="H51" s="486"/>
      <c r="I51" s="486"/>
      <c r="J51" s="486"/>
      <c r="K51" s="486"/>
      <c r="L51" s="486"/>
    </row>
    <row r="52" spans="4:16" ht="35.1" customHeight="1" x14ac:dyDescent="0.6">
      <c r="D52" s="481"/>
      <c r="E52" s="481"/>
      <c r="F52" s="481"/>
      <c r="G52" s="481"/>
      <c r="H52" s="481"/>
      <c r="I52" s="481"/>
      <c r="J52" s="481"/>
      <c r="K52" s="481"/>
      <c r="L52" s="482"/>
    </row>
    <row r="53" spans="4:16" ht="24.75" customHeight="1" x14ac:dyDescent="0.6">
      <c r="D53" s="476"/>
      <c r="E53" s="476"/>
      <c r="F53" s="476"/>
      <c r="G53" s="476"/>
      <c r="H53" s="476"/>
      <c r="I53" s="476"/>
      <c r="J53" s="476"/>
      <c r="K53" s="476"/>
      <c r="L53" s="477"/>
    </row>
    <row r="54" spans="4:16" ht="28.5" customHeight="1" x14ac:dyDescent="0.6">
      <c r="D54" s="484"/>
      <c r="E54" s="484"/>
      <c r="F54" s="484"/>
      <c r="G54" s="484"/>
      <c r="H54" s="484"/>
      <c r="I54" s="484"/>
      <c r="J54" s="484"/>
      <c r="K54" s="484"/>
      <c r="L54" s="485"/>
    </row>
    <row r="55" spans="4:16" x14ac:dyDescent="0.25">
      <c r="D55" s="303"/>
      <c r="E55" s="303"/>
      <c r="F55" s="304"/>
      <c r="G55" s="305"/>
      <c r="H55" s="478"/>
      <c r="I55" s="479"/>
      <c r="J55" s="479"/>
      <c r="K55" s="479"/>
      <c r="L55" s="480"/>
    </row>
    <row r="56" spans="4:16" x14ac:dyDescent="0.25">
      <c r="D56" s="306"/>
      <c r="E56" s="306"/>
      <c r="F56" s="306"/>
      <c r="G56" s="307" t="s">
        <v>1</v>
      </c>
      <c r="H56" s="308" t="s">
        <v>121</v>
      </c>
      <c r="I56" s="308" t="s">
        <v>124</v>
      </c>
      <c r="J56" s="308"/>
      <c r="K56" s="306" t="s">
        <v>130</v>
      </c>
      <c r="L56" s="306"/>
    </row>
    <row r="57" spans="4:16" x14ac:dyDescent="0.25">
      <c r="D57" s="307"/>
      <c r="E57" s="307" t="s">
        <v>8</v>
      </c>
      <c r="F57" s="306"/>
      <c r="G57" s="306" t="s">
        <v>122</v>
      </c>
      <c r="H57" s="307" t="s">
        <v>123</v>
      </c>
      <c r="I57" s="307" t="s">
        <v>125</v>
      </c>
      <c r="J57" s="307" t="s">
        <v>126</v>
      </c>
      <c r="K57" s="306" t="s">
        <v>129</v>
      </c>
      <c r="L57" s="306" t="s">
        <v>128</v>
      </c>
    </row>
    <row r="58" spans="4:16" x14ac:dyDescent="0.25">
      <c r="D58" s="308" t="s">
        <v>169</v>
      </c>
      <c r="E58" s="308" t="s">
        <v>7</v>
      </c>
      <c r="F58" s="308" t="s">
        <v>134</v>
      </c>
      <c r="G58" s="308"/>
      <c r="H58" s="308"/>
      <c r="I58" s="308"/>
      <c r="J58" s="308"/>
      <c r="K58" s="308"/>
      <c r="L58" s="308"/>
    </row>
    <row r="59" spans="4:16" x14ac:dyDescent="0.25">
      <c r="E59" s="75"/>
      <c r="F59" s="75"/>
      <c r="G59" s="75"/>
      <c r="H59" s="75"/>
      <c r="I59" s="75"/>
      <c r="J59" s="75"/>
      <c r="K59" s="75"/>
      <c r="L59" s="75"/>
    </row>
    <row r="60" spans="4:16" x14ac:dyDescent="0.25">
      <c r="E60" s="35"/>
      <c r="F60" s="35"/>
      <c r="G60" s="35"/>
      <c r="H60" s="35"/>
      <c r="I60" s="35"/>
      <c r="J60" s="35"/>
      <c r="K60" s="35"/>
      <c r="L60" s="35"/>
    </row>
    <row r="61" spans="4:16" ht="48" customHeight="1" x14ac:dyDescent="0.3">
      <c r="D61" s="350" t="s">
        <v>293</v>
      </c>
      <c r="E61" s="327" t="s">
        <v>294</v>
      </c>
      <c r="F61" s="327">
        <v>15</v>
      </c>
      <c r="G61" s="328">
        <v>4337</v>
      </c>
      <c r="H61" s="328">
        <v>4337</v>
      </c>
      <c r="I61" s="329">
        <f t="shared" ref="I61:I68" si="16">IFERROR(IF(ROUND((((H61/F61*30.4)-VLOOKUP((H61/F61*30.4),TARIFA,1))*VLOOKUP((H61/F61*30.4),TARIFA,3)+VLOOKUP((H61/F61*30.4),TARIFA,2)-VLOOKUP((H61/F61*30.4),SUBSIDIO,2))/30.4*F61,2)&lt;0,ROUND(-(((H61/F61*30.4)-VLOOKUP((H61/F61*30.4),TARIFA,1))*VLOOKUP((H61/F61*30.4),TARIFA,3)+VLOOKUP((H61/F61*30.4),TARIFA,2)-VLOOKUP((H61/F61*30.4),SUBSIDIO,2))/30.4*F61,2),0),0)</f>
        <v>0</v>
      </c>
      <c r="J61" s="329">
        <f t="shared" ref="J61:J68" si="17">IFERROR(IF(ROUND((((H61/F61*30.4)-VLOOKUP((H61/F61*30.4),TARIFA,1))*VLOOKUP((H61/F61*30.4),TARIFA,3)+VLOOKUP((H61/F61*30.4),TARIFA,2)-VLOOKUP((H61/F61*30.4),SUBSIDIO,2))/30.4*F61,2)&gt;0,ROUND((((H61/F61*30.4)-VLOOKUP((H61/F61*30.4),TARIFA,1))*VLOOKUP((H61/F61*30.4),TARIFA,3)+VLOOKUP((H61/F61*30.4),TARIFA,2)-VLOOKUP((H61/F61*30.4),SUBSIDIO,2))/30.4*F61,2),0),0)</f>
        <v>336.68</v>
      </c>
      <c r="K61" s="328">
        <f t="shared" ref="K61:K66" si="18">H61-J61</f>
        <v>4000.32</v>
      </c>
      <c r="L61" s="328"/>
      <c r="O61" s="43">
        <v>6770</v>
      </c>
      <c r="P61" s="44">
        <f>O61/2</f>
        <v>3385</v>
      </c>
    </row>
    <row r="62" spans="4:16" ht="48" customHeight="1" x14ac:dyDescent="0.3">
      <c r="D62" s="327" t="s">
        <v>296</v>
      </c>
      <c r="E62" s="327" t="s">
        <v>295</v>
      </c>
      <c r="F62" s="327">
        <v>15</v>
      </c>
      <c r="G62" s="328">
        <v>3888</v>
      </c>
      <c r="H62" s="328">
        <v>3888</v>
      </c>
      <c r="I62" s="329">
        <f t="shared" si="16"/>
        <v>0</v>
      </c>
      <c r="J62" s="329">
        <f t="shared" si="17"/>
        <v>287.83</v>
      </c>
      <c r="K62" s="328">
        <f t="shared" si="18"/>
        <v>3600.17</v>
      </c>
      <c r="L62" s="328"/>
      <c r="O62" s="43"/>
      <c r="P62" s="44"/>
    </row>
    <row r="63" spans="4:16" ht="48" customHeight="1" x14ac:dyDescent="0.3">
      <c r="D63" s="327" t="s">
        <v>99</v>
      </c>
      <c r="E63" s="327" t="s">
        <v>32</v>
      </c>
      <c r="F63" s="327">
        <v>15</v>
      </c>
      <c r="G63" s="328">
        <v>3922</v>
      </c>
      <c r="H63" s="328">
        <v>3922</v>
      </c>
      <c r="I63" s="329">
        <f t="shared" si="16"/>
        <v>0</v>
      </c>
      <c r="J63" s="329">
        <f t="shared" si="17"/>
        <v>291.52999999999997</v>
      </c>
      <c r="K63" s="328">
        <f t="shared" si="18"/>
        <v>3630.4700000000003</v>
      </c>
      <c r="L63" s="328"/>
      <c r="O63" s="43"/>
      <c r="P63" s="44"/>
    </row>
    <row r="64" spans="4:16" ht="48" customHeight="1" x14ac:dyDescent="0.3">
      <c r="D64" s="327" t="s">
        <v>100</v>
      </c>
      <c r="E64" s="327" t="s">
        <v>101</v>
      </c>
      <c r="F64" s="327">
        <v>15</v>
      </c>
      <c r="G64" s="328">
        <v>4483</v>
      </c>
      <c r="H64" s="328">
        <v>4483</v>
      </c>
      <c r="I64" s="329">
        <f t="shared" si="16"/>
        <v>0</v>
      </c>
      <c r="J64" s="329">
        <f t="shared" si="17"/>
        <v>352.56</v>
      </c>
      <c r="K64" s="328">
        <f t="shared" si="18"/>
        <v>4130.4399999999996</v>
      </c>
      <c r="L64" s="328"/>
      <c r="O64" s="43">
        <v>6770</v>
      </c>
      <c r="P64" s="44">
        <f>O64/2</f>
        <v>3385</v>
      </c>
    </row>
    <row r="65" spans="4:16" ht="48" customHeight="1" x14ac:dyDescent="0.3">
      <c r="D65" s="327" t="s">
        <v>156</v>
      </c>
      <c r="E65" s="327" t="s">
        <v>101</v>
      </c>
      <c r="F65" s="327">
        <v>15</v>
      </c>
      <c r="G65" s="328">
        <v>3299</v>
      </c>
      <c r="H65" s="328">
        <f>G65</f>
        <v>3299</v>
      </c>
      <c r="I65" s="329">
        <f t="shared" si="16"/>
        <v>0</v>
      </c>
      <c r="J65" s="329">
        <f t="shared" si="17"/>
        <v>98.64</v>
      </c>
      <c r="K65" s="328">
        <f t="shared" si="18"/>
        <v>3200.36</v>
      </c>
      <c r="L65" s="328"/>
      <c r="O65" s="43">
        <v>4170</v>
      </c>
      <c r="P65" s="44">
        <f>O65/2</f>
        <v>2085</v>
      </c>
    </row>
    <row r="66" spans="4:16" ht="48" customHeight="1" x14ac:dyDescent="0.3">
      <c r="D66" s="327" t="s">
        <v>142</v>
      </c>
      <c r="E66" s="327" t="s">
        <v>32</v>
      </c>
      <c r="F66" s="327">
        <v>15</v>
      </c>
      <c r="G66" s="328">
        <v>4225</v>
      </c>
      <c r="H66" s="328">
        <f>G66</f>
        <v>4225</v>
      </c>
      <c r="I66" s="329">
        <f t="shared" si="16"/>
        <v>0</v>
      </c>
      <c r="J66" s="329">
        <f t="shared" si="17"/>
        <v>324.49</v>
      </c>
      <c r="K66" s="328">
        <f t="shared" si="18"/>
        <v>3900.51</v>
      </c>
      <c r="L66" s="328"/>
      <c r="O66" s="43">
        <v>4170</v>
      </c>
      <c r="P66" s="44">
        <f>O66/2</f>
        <v>2085</v>
      </c>
    </row>
    <row r="67" spans="4:16" ht="48" customHeight="1" x14ac:dyDescent="0.3">
      <c r="D67" s="350" t="s">
        <v>291</v>
      </c>
      <c r="E67" s="351" t="s">
        <v>101</v>
      </c>
      <c r="F67" s="352">
        <v>15</v>
      </c>
      <c r="G67" s="328">
        <v>3299</v>
      </c>
      <c r="H67" s="328">
        <f>G67</f>
        <v>3299</v>
      </c>
      <c r="I67" s="329">
        <f t="shared" si="16"/>
        <v>0</v>
      </c>
      <c r="J67" s="329">
        <f t="shared" si="17"/>
        <v>98.64</v>
      </c>
      <c r="K67" s="328">
        <f t="shared" ref="K67" si="19">H67-J67</f>
        <v>3200.36</v>
      </c>
      <c r="L67" s="353"/>
      <c r="O67" s="43"/>
      <c r="P67" s="44"/>
    </row>
    <row r="68" spans="4:16" ht="48" customHeight="1" x14ac:dyDescent="0.3">
      <c r="D68" s="350" t="s">
        <v>292</v>
      </c>
      <c r="E68" s="351" t="s">
        <v>32</v>
      </c>
      <c r="F68" s="352">
        <v>15</v>
      </c>
      <c r="G68" s="328">
        <v>3299</v>
      </c>
      <c r="H68" s="328">
        <f>G68</f>
        <v>3299</v>
      </c>
      <c r="I68" s="329">
        <f t="shared" si="16"/>
        <v>0</v>
      </c>
      <c r="J68" s="329">
        <f t="shared" si="17"/>
        <v>98.64</v>
      </c>
      <c r="K68" s="328">
        <f t="shared" ref="K68" si="20">H68-J68</f>
        <v>3200.36</v>
      </c>
      <c r="L68" s="353"/>
      <c r="O68" s="43"/>
      <c r="P68" s="44"/>
    </row>
    <row r="69" spans="4:16" ht="50.1" customHeight="1" x14ac:dyDescent="0.3">
      <c r="D69" s="146"/>
      <c r="E69" s="146"/>
      <c r="F69" s="107"/>
      <c r="G69" s="145"/>
      <c r="H69" s="147"/>
      <c r="I69" s="148"/>
      <c r="J69" s="148"/>
      <c r="K69" s="148"/>
      <c r="M69" s="74"/>
    </row>
    <row r="70" spans="4:16" ht="33.75" customHeight="1" thickBot="1" x14ac:dyDescent="0.35">
      <c r="D70" s="483"/>
      <c r="E70" s="483"/>
      <c r="F70" s="108"/>
      <c r="G70" s="321">
        <f>SUM(G61:G69)</f>
        <v>30752</v>
      </c>
      <c r="H70" s="321">
        <f>SUM(H61:H69)</f>
        <v>30752</v>
      </c>
      <c r="I70" s="321">
        <f>SUM(I61:I69)</f>
        <v>0</v>
      </c>
      <c r="J70" s="321">
        <f>SUM(J61:J69)</f>
        <v>1889.0100000000002</v>
      </c>
      <c r="K70" s="321">
        <f>SUM(K61:K69)</f>
        <v>28862.989999999998</v>
      </c>
      <c r="L70" s="276"/>
    </row>
    <row r="71" spans="4:16" ht="13.8" thickTop="1" x14ac:dyDescent="0.25"/>
    <row r="78" spans="4:16" x14ac:dyDescent="0.25">
      <c r="D78" s="28" t="s">
        <v>97</v>
      </c>
      <c r="G78" s="28"/>
      <c r="H78" s="28"/>
      <c r="I78" s="28"/>
      <c r="J78" s="28"/>
      <c r="K78" s="54"/>
      <c r="L78" s="54"/>
    </row>
    <row r="79" spans="4:16" ht="24.9" customHeight="1" x14ac:dyDescent="0.25">
      <c r="D79" s="27" t="s">
        <v>351</v>
      </c>
      <c r="K79" s="442" t="s">
        <v>352</v>
      </c>
      <c r="L79" s="442"/>
    </row>
    <row r="80" spans="4:16" x14ac:dyDescent="0.25">
      <c r="D80" s="28" t="s">
        <v>9</v>
      </c>
      <c r="E80" s="28"/>
      <c r="F80" s="28"/>
      <c r="G80" s="28"/>
      <c r="H80" s="28"/>
      <c r="I80" s="28"/>
      <c r="J80" s="28"/>
      <c r="K80" s="443" t="s">
        <v>131</v>
      </c>
      <c r="L80" s="443"/>
    </row>
    <row r="82" spans="4:12" x14ac:dyDescent="0.25">
      <c r="K82" s="59">
        <f>SUM(K61:K68)</f>
        <v>28862.989999999998</v>
      </c>
    </row>
    <row r="83" spans="4:12" ht="24.9" customHeight="1" x14ac:dyDescent="0.25">
      <c r="D83" s="35"/>
      <c r="E83" s="35"/>
      <c r="F83" s="35"/>
      <c r="G83" s="35"/>
      <c r="H83" s="35"/>
      <c r="I83" s="35"/>
      <c r="J83" s="35"/>
      <c r="K83" s="35"/>
      <c r="L83" s="35"/>
    </row>
    <row r="84" spans="4:12" ht="24.9" customHeight="1" x14ac:dyDescent="0.25">
      <c r="D84" s="36"/>
      <c r="E84" s="35"/>
      <c r="F84" s="35"/>
      <c r="G84" s="36"/>
      <c r="H84" s="36"/>
      <c r="I84" s="36"/>
      <c r="J84" s="36"/>
      <c r="K84" s="36"/>
      <c r="L84" s="36"/>
    </row>
    <row r="85" spans="4:12" x14ac:dyDescent="0.25">
      <c r="D85" s="20"/>
      <c r="E85" s="35"/>
      <c r="F85" s="35"/>
      <c r="G85" s="35"/>
      <c r="H85" s="35"/>
      <c r="I85" s="35"/>
      <c r="J85" s="35"/>
      <c r="K85" s="35"/>
      <c r="L85" s="35"/>
    </row>
    <row r="86" spans="4:12" x14ac:dyDescent="0.25">
      <c r="D86" s="30"/>
      <c r="E86" s="28"/>
      <c r="F86" s="28"/>
      <c r="G86" s="28"/>
      <c r="H86" s="28"/>
      <c r="I86" s="28"/>
      <c r="J86" s="28"/>
      <c r="K86" s="28"/>
      <c r="L86" s="28"/>
    </row>
  </sheetData>
  <sheetProtection selectLockedCells="1" selectUnlockedCells="1"/>
  <mergeCells count="16">
    <mergeCell ref="K45:L45"/>
    <mergeCell ref="H55:L55"/>
    <mergeCell ref="K80:L80"/>
    <mergeCell ref="K46:L46"/>
    <mergeCell ref="D4:L4"/>
    <mergeCell ref="D52:L52"/>
    <mergeCell ref="D53:L53"/>
    <mergeCell ref="D70:E70"/>
    <mergeCell ref="K79:L79"/>
    <mergeCell ref="D54:L54"/>
    <mergeCell ref="D51:L51"/>
    <mergeCell ref="D3:L3"/>
    <mergeCell ref="D5:L5"/>
    <mergeCell ref="H7:L7"/>
    <mergeCell ref="D6:L6"/>
    <mergeCell ref="D40:E40"/>
  </mergeCells>
  <phoneticPr fontId="0" type="noConversion"/>
  <pageMargins left="0" right="0" top="0" bottom="0" header="0.11811023622047245" footer="0.31496062992125984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K34"/>
  <sheetViews>
    <sheetView topLeftCell="C1" workbookViewId="0">
      <selection activeCell="H14" sqref="H14"/>
    </sheetView>
  </sheetViews>
  <sheetFormatPr baseColWidth="10" defaultRowHeight="13.2" x14ac:dyDescent="0.25"/>
  <cols>
    <col min="1" max="2" width="0" hidden="1" customWidth="1"/>
    <col min="3" max="3" width="42.88671875" customWidth="1"/>
    <col min="4" max="4" width="36.33203125" customWidth="1"/>
    <col min="5" max="5" width="7" customWidth="1"/>
    <col min="6" max="6" width="11.109375" customWidth="1"/>
    <col min="7" max="7" width="7.5546875" customWidth="1"/>
    <col min="8" max="8" width="11.44140625" customWidth="1"/>
    <col min="9" max="9" width="73.5546875" customWidth="1"/>
  </cols>
  <sheetData>
    <row r="2" spans="3:11" x14ac:dyDescent="0.25">
      <c r="C2" s="12"/>
      <c r="D2" s="12"/>
      <c r="E2" s="12"/>
      <c r="F2" s="12"/>
      <c r="G2" s="12"/>
      <c r="H2" s="12"/>
      <c r="I2" s="12"/>
    </row>
    <row r="3" spans="3:11" ht="19.8" x14ac:dyDescent="0.3">
      <c r="C3" s="488"/>
      <c r="D3" s="488"/>
      <c r="E3" s="488"/>
      <c r="F3" s="488"/>
      <c r="G3" s="488"/>
      <c r="H3" s="488"/>
      <c r="I3" s="489"/>
    </row>
    <row r="4" spans="3:11" ht="19.8" hidden="1" x14ac:dyDescent="0.3">
      <c r="C4" s="490"/>
      <c r="D4" s="490"/>
      <c r="E4" s="490"/>
      <c r="F4" s="490"/>
      <c r="G4" s="490"/>
      <c r="H4" s="490"/>
      <c r="I4" s="491"/>
    </row>
    <row r="5" spans="3:11" ht="19.8" x14ac:dyDescent="0.3">
      <c r="C5" s="490"/>
      <c r="D5" s="490"/>
      <c r="E5" s="490"/>
      <c r="F5" s="490"/>
      <c r="G5" s="490"/>
      <c r="H5" s="490"/>
      <c r="I5" s="491"/>
    </row>
    <row r="6" spans="3:11" ht="19.8" x14ac:dyDescent="0.3">
      <c r="C6" s="490"/>
      <c r="D6" s="490"/>
      <c r="E6" s="490"/>
      <c r="F6" s="490"/>
      <c r="G6" s="490"/>
      <c r="H6" s="490"/>
      <c r="I6" s="491"/>
    </row>
    <row r="7" spans="3:11" x14ac:dyDescent="0.25">
      <c r="C7" s="277"/>
      <c r="D7" s="277"/>
      <c r="E7" s="278"/>
      <c r="F7" s="464" t="s">
        <v>0</v>
      </c>
      <c r="G7" s="466"/>
      <c r="H7" s="280"/>
      <c r="I7" s="313"/>
    </row>
    <row r="8" spans="3:11" x14ac:dyDescent="0.25">
      <c r="C8" s="278"/>
      <c r="D8" s="278"/>
      <c r="E8" s="278"/>
      <c r="F8" s="283" t="s">
        <v>1</v>
      </c>
      <c r="G8" s="283"/>
      <c r="H8" s="280" t="s">
        <v>121</v>
      </c>
      <c r="I8" s="278" t="s">
        <v>132</v>
      </c>
    </row>
    <row r="9" spans="3:11" ht="13.8" x14ac:dyDescent="0.25">
      <c r="C9" s="286" t="s">
        <v>135</v>
      </c>
      <c r="D9" s="286" t="s">
        <v>136</v>
      </c>
      <c r="E9" s="278" t="s">
        <v>134</v>
      </c>
      <c r="F9" s="278" t="s">
        <v>6</v>
      </c>
      <c r="G9" s="278"/>
      <c r="H9" s="278" t="s">
        <v>123</v>
      </c>
      <c r="I9" s="278"/>
    </row>
    <row r="10" spans="3:11" ht="13.8" x14ac:dyDescent="0.25">
      <c r="C10" s="287" t="s">
        <v>62</v>
      </c>
      <c r="D10" s="314"/>
      <c r="E10" s="315"/>
      <c r="F10" s="315"/>
      <c r="G10" s="315"/>
      <c r="H10" s="316"/>
      <c r="I10" s="315"/>
    </row>
    <row r="11" spans="3:11" ht="35.1" customHeight="1" x14ac:dyDescent="0.25">
      <c r="C11" s="9"/>
      <c r="D11" s="138"/>
      <c r="E11" s="139"/>
      <c r="F11" s="137"/>
      <c r="G11" s="137"/>
      <c r="H11" s="137"/>
      <c r="I11" s="137"/>
      <c r="J11" s="134"/>
    </row>
    <row r="12" spans="3:11" ht="39.9" customHeight="1" x14ac:dyDescent="0.25">
      <c r="C12" s="223" t="s">
        <v>55</v>
      </c>
      <c r="D12" s="223" t="s">
        <v>34</v>
      </c>
      <c r="E12" s="224">
        <v>15</v>
      </c>
      <c r="F12" s="225">
        <v>1992</v>
      </c>
      <c r="G12" s="226"/>
      <c r="H12" s="227">
        <f t="shared" ref="H12:H19" si="0">F12</f>
        <v>1992</v>
      </c>
      <c r="I12" s="228"/>
      <c r="K12" s="6"/>
    </row>
    <row r="13" spans="3:11" ht="39.9" customHeight="1" x14ac:dyDescent="0.25">
      <c r="C13" s="223" t="s">
        <v>56</v>
      </c>
      <c r="D13" s="223" t="s">
        <v>57</v>
      </c>
      <c r="E13" s="224">
        <v>15</v>
      </c>
      <c r="F13" s="225">
        <v>2430</v>
      </c>
      <c r="G13" s="226"/>
      <c r="H13" s="227">
        <f t="shared" si="0"/>
        <v>2430</v>
      </c>
      <c r="I13" s="228"/>
      <c r="K13" s="6"/>
    </row>
    <row r="14" spans="3:11" ht="39.9" customHeight="1" x14ac:dyDescent="0.25">
      <c r="C14" s="223" t="s">
        <v>28</v>
      </c>
      <c r="D14" s="223" t="s">
        <v>26</v>
      </c>
      <c r="E14" s="224">
        <v>15</v>
      </c>
      <c r="F14" s="225">
        <v>3194</v>
      </c>
      <c r="G14" s="226"/>
      <c r="H14" s="227">
        <f t="shared" si="0"/>
        <v>3194</v>
      </c>
      <c r="I14" s="228"/>
      <c r="J14" s="222"/>
      <c r="K14" s="6"/>
    </row>
    <row r="15" spans="3:11" ht="39.9" customHeight="1" x14ac:dyDescent="0.25">
      <c r="C15" s="223" t="s">
        <v>35</v>
      </c>
      <c r="D15" s="223" t="s">
        <v>172</v>
      </c>
      <c r="E15" s="224">
        <v>15</v>
      </c>
      <c r="F15" s="225">
        <v>1918</v>
      </c>
      <c r="G15" s="226"/>
      <c r="H15" s="227">
        <f t="shared" si="0"/>
        <v>1918</v>
      </c>
      <c r="I15" s="228"/>
      <c r="J15" s="136"/>
      <c r="K15" s="133"/>
    </row>
    <row r="16" spans="3:11" ht="39.9" customHeight="1" x14ac:dyDescent="0.25">
      <c r="C16" s="229" t="s">
        <v>37</v>
      </c>
      <c r="D16" s="223" t="s">
        <v>38</v>
      </c>
      <c r="E16" s="230">
        <v>15</v>
      </c>
      <c r="F16" s="225">
        <v>2294</v>
      </c>
      <c r="G16" s="226"/>
      <c r="H16" s="227">
        <f t="shared" si="0"/>
        <v>2294</v>
      </c>
      <c r="I16" s="228"/>
      <c r="J16" s="136"/>
      <c r="K16" s="133"/>
    </row>
    <row r="17" spans="3:11" ht="39.9" customHeight="1" x14ac:dyDescent="0.25">
      <c r="C17" s="229" t="s">
        <v>51</v>
      </c>
      <c r="D17" s="223" t="s">
        <v>73</v>
      </c>
      <c r="E17" s="230">
        <v>15</v>
      </c>
      <c r="F17" s="225">
        <v>1487</v>
      </c>
      <c r="G17" s="226"/>
      <c r="H17" s="227">
        <f t="shared" si="0"/>
        <v>1487</v>
      </c>
      <c r="I17" s="228"/>
      <c r="J17" s="136"/>
      <c r="K17" s="133"/>
    </row>
    <row r="18" spans="3:11" ht="39.9" customHeight="1" x14ac:dyDescent="0.25">
      <c r="C18" s="223" t="s">
        <v>40</v>
      </c>
      <c r="D18" s="223" t="s">
        <v>216</v>
      </c>
      <c r="E18" s="224">
        <v>15</v>
      </c>
      <c r="F18" s="225">
        <v>1800</v>
      </c>
      <c r="G18" s="226"/>
      <c r="H18" s="227">
        <f t="shared" si="0"/>
        <v>1800</v>
      </c>
      <c r="I18" s="228"/>
      <c r="J18" s="136"/>
      <c r="K18" s="133"/>
    </row>
    <row r="19" spans="3:11" ht="35.1" customHeight="1" x14ac:dyDescent="0.25">
      <c r="C19" s="58"/>
      <c r="D19" s="231"/>
      <c r="E19" s="231">
        <v>15</v>
      </c>
      <c r="F19" s="430">
        <v>2400</v>
      </c>
      <c r="G19" s="231"/>
      <c r="H19" s="430">
        <f t="shared" si="0"/>
        <v>2400</v>
      </c>
      <c r="I19" s="1"/>
    </row>
    <row r="20" spans="3:11" ht="35.1" customHeight="1" x14ac:dyDescent="0.25">
      <c r="C20" s="58"/>
      <c r="D20" s="317" t="s">
        <v>58</v>
      </c>
      <c r="E20" s="318"/>
      <c r="F20" s="319">
        <f>SUM(F12:F19)</f>
        <v>17515</v>
      </c>
      <c r="G20" s="319">
        <f>SUM(G12:G19)</f>
        <v>0</v>
      </c>
      <c r="H20" s="319">
        <f>SUM(H12:H19)</f>
        <v>17515</v>
      </c>
      <c r="I20" s="320"/>
    </row>
    <row r="21" spans="3:11" ht="35.1" customHeight="1" x14ac:dyDescent="0.25">
      <c r="C21" s="58"/>
      <c r="D21" s="83"/>
      <c r="E21" s="84"/>
      <c r="F21" s="85"/>
      <c r="G21" s="85"/>
      <c r="H21" s="85"/>
      <c r="I21" s="86"/>
    </row>
    <row r="22" spans="3:11" ht="35.1" customHeight="1" x14ac:dyDescent="0.25">
      <c r="C22" s="58"/>
      <c r="D22" s="83"/>
      <c r="E22" s="84"/>
      <c r="F22" s="85"/>
      <c r="G22" s="85"/>
      <c r="H22" s="85"/>
      <c r="I22" s="86"/>
    </row>
    <row r="23" spans="3:11" ht="35.1" customHeight="1" x14ac:dyDescent="0.25">
      <c r="C23" s="1"/>
      <c r="D23" s="1"/>
      <c r="E23" s="1"/>
      <c r="F23" s="1"/>
      <c r="G23" s="1"/>
      <c r="H23" s="1"/>
      <c r="I23" s="1"/>
    </row>
    <row r="24" spans="3:11" x14ac:dyDescent="0.25">
      <c r="C24" s="1"/>
      <c r="D24" s="1"/>
      <c r="E24" s="1"/>
      <c r="F24" s="1"/>
      <c r="G24" s="1"/>
      <c r="H24" s="1"/>
      <c r="I24" s="1"/>
    </row>
    <row r="25" spans="3:11" x14ac:dyDescent="0.25">
      <c r="C25" s="53"/>
      <c r="D25" s="1"/>
      <c r="E25" s="1"/>
      <c r="F25" s="1"/>
      <c r="G25" s="1"/>
      <c r="H25" s="53"/>
      <c r="I25" s="53"/>
    </row>
    <row r="26" spans="3:11" x14ac:dyDescent="0.25">
      <c r="C26" s="27" t="s">
        <v>349</v>
      </c>
      <c r="D26" s="1"/>
      <c r="E26" s="1"/>
      <c r="F26" s="1"/>
      <c r="G26" s="1"/>
      <c r="H26" s="487" t="s">
        <v>347</v>
      </c>
      <c r="I26" s="487"/>
    </row>
    <row r="27" spans="3:11" x14ac:dyDescent="0.25">
      <c r="C27" s="28" t="s">
        <v>9</v>
      </c>
      <c r="D27" s="7"/>
      <c r="E27" s="7"/>
      <c r="F27" s="7"/>
      <c r="G27" s="7"/>
      <c r="H27" s="443" t="s">
        <v>131</v>
      </c>
      <c r="I27" s="443"/>
    </row>
    <row r="28" spans="3:11" x14ac:dyDescent="0.25">
      <c r="C28" s="1"/>
      <c r="D28" s="1"/>
      <c r="E28" s="1"/>
      <c r="F28" s="1"/>
      <c r="G28" s="1"/>
      <c r="H28" s="1"/>
      <c r="I28" s="1"/>
    </row>
    <row r="29" spans="3:11" x14ac:dyDescent="0.25">
      <c r="C29" s="1"/>
      <c r="D29" s="1"/>
      <c r="E29" s="1"/>
      <c r="F29" s="1"/>
      <c r="G29" s="1"/>
      <c r="H29" s="1"/>
      <c r="I29" s="1"/>
    </row>
    <row r="30" spans="3:11" x14ac:dyDescent="0.25">
      <c r="C30" s="1"/>
      <c r="D30" s="1"/>
      <c r="E30" s="1"/>
      <c r="F30" s="1"/>
      <c r="G30" s="1"/>
      <c r="H30" s="1"/>
      <c r="I30" s="1"/>
    </row>
    <row r="31" spans="3:11" x14ac:dyDescent="0.25">
      <c r="C31" s="1"/>
      <c r="D31" s="1"/>
      <c r="E31" s="1"/>
      <c r="F31" s="1"/>
      <c r="G31" s="1"/>
      <c r="H31" s="1"/>
      <c r="I31" s="1"/>
    </row>
    <row r="32" spans="3:11" x14ac:dyDescent="0.25">
      <c r="C32" s="2"/>
      <c r="D32" s="1"/>
      <c r="E32" s="1"/>
      <c r="F32" s="2"/>
      <c r="G32" s="1"/>
      <c r="H32" s="1"/>
      <c r="I32" s="1"/>
    </row>
    <row r="33" spans="3:9" x14ac:dyDescent="0.25">
      <c r="C33" s="7"/>
      <c r="D33" s="7"/>
      <c r="E33" s="7"/>
      <c r="F33" s="7"/>
      <c r="G33" s="7"/>
      <c r="H33" s="7"/>
      <c r="I33" s="7"/>
    </row>
    <row r="34" spans="3:9" x14ac:dyDescent="0.25">
      <c r="C34" s="1"/>
      <c r="D34" s="1"/>
      <c r="E34" s="1"/>
      <c r="F34" s="1"/>
      <c r="G34" s="1"/>
      <c r="H34" s="1"/>
      <c r="I34" s="1"/>
    </row>
  </sheetData>
  <sheetProtection selectLockedCells="1" selectUnlockedCells="1"/>
  <mergeCells count="7">
    <mergeCell ref="H26:I26"/>
    <mergeCell ref="H27:I27"/>
    <mergeCell ref="C3:I3"/>
    <mergeCell ref="C4:I4"/>
    <mergeCell ref="F7:G7"/>
    <mergeCell ref="C5:I5"/>
    <mergeCell ref="C6:I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workbookViewId="0">
      <selection activeCell="C11" sqref="C11"/>
    </sheetView>
  </sheetViews>
  <sheetFormatPr baseColWidth="10" defaultColWidth="11" defaultRowHeight="12" x14ac:dyDescent="0.2"/>
  <cols>
    <col min="1" max="1" width="11" style="149"/>
    <col min="2" max="2" width="49.5546875" style="149" customWidth="1"/>
    <col min="3" max="3" width="15.44140625" style="149" customWidth="1"/>
    <col min="4" max="4" width="4.33203125" style="149" customWidth="1"/>
    <col min="5" max="5" width="11.88671875" style="149" hidden="1" customWidth="1"/>
    <col min="6" max="6" width="43.5546875" style="149" customWidth="1"/>
    <col min="7" max="7" width="12" style="149" bestFit="1" customWidth="1"/>
    <col min="8" max="8" width="12.33203125" style="149" bestFit="1" customWidth="1"/>
    <col min="9" max="9" width="11.33203125" style="149" bestFit="1" customWidth="1"/>
    <col min="10" max="10" width="10.5546875" style="149" customWidth="1"/>
    <col min="11" max="11" width="11" style="149"/>
    <col min="12" max="12" width="12" style="149" hidden="1" customWidth="1"/>
    <col min="13" max="14" width="11.33203125" style="149" hidden="1" customWidth="1"/>
    <col min="15" max="15" width="11" style="149"/>
    <col min="16" max="17" width="11.109375" style="149" bestFit="1" customWidth="1"/>
    <col min="18" max="22" width="8.6640625" style="149" customWidth="1"/>
    <col min="23" max="24" width="11" style="149"/>
    <col min="25" max="25" width="12.33203125" style="149" bestFit="1" customWidth="1"/>
    <col min="26" max="26" width="11" style="149" bestFit="1" customWidth="1"/>
    <col min="27" max="27" width="10.5546875" style="149" customWidth="1"/>
    <col min="28" max="28" width="11" style="149"/>
    <col min="29" max="29" width="12" style="149" hidden="1" customWidth="1"/>
    <col min="30" max="31" width="11.33203125" style="149" hidden="1" customWidth="1"/>
    <col min="32" max="32" width="11" style="149"/>
    <col min="33" max="34" width="11.109375" style="149" bestFit="1" customWidth="1"/>
    <col min="35" max="16384" width="11" style="149"/>
  </cols>
  <sheetData>
    <row r="1" spans="2:34" ht="13.2" x14ac:dyDescent="0.25">
      <c r="B1" s="150"/>
      <c r="C1" s="150"/>
      <c r="D1" s="150"/>
      <c r="E1" s="150"/>
      <c r="F1" s="150"/>
    </row>
    <row r="2" spans="2:34" ht="25.5" customHeight="1" x14ac:dyDescent="0.4">
      <c r="B2" s="151" t="s">
        <v>201</v>
      </c>
      <c r="C2" s="152"/>
      <c r="D2" s="152"/>
      <c r="E2" s="152"/>
      <c r="F2" s="152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3">
      <c r="B3" s="153" t="s">
        <v>174</v>
      </c>
      <c r="C3" s="152"/>
      <c r="D3" s="152"/>
      <c r="E3" s="152"/>
      <c r="F3" s="152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3">
      <c r="B4" s="154" t="s">
        <v>202</v>
      </c>
      <c r="C4" s="155"/>
      <c r="D4" s="152"/>
      <c r="E4" s="152"/>
      <c r="F4" s="152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35">
      <c r="B5" s="156" t="s">
        <v>212</v>
      </c>
      <c r="C5" s="155"/>
      <c r="D5" s="152"/>
      <c r="E5" s="152"/>
      <c r="F5" s="152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5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3.2" x14ac:dyDescent="0.25">
      <c r="B7" s="157"/>
      <c r="C7" s="157"/>
      <c r="D7" s="157"/>
      <c r="E7" s="157"/>
      <c r="F7" s="157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3.2" x14ac:dyDescent="0.25">
      <c r="B8" s="157"/>
      <c r="C8" s="157"/>
      <c r="D8" s="157"/>
      <c r="E8" s="157"/>
      <c r="F8" s="157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7.399999999999999" x14ac:dyDescent="0.3">
      <c r="B9" s="158" t="s">
        <v>175</v>
      </c>
      <c r="C9" s="158"/>
      <c r="D9" s="159"/>
      <c r="E9" s="158"/>
      <c r="F9" s="160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7.399999999999999" x14ac:dyDescent="0.3">
      <c r="B10" s="159"/>
      <c r="C10" s="159"/>
      <c r="D10" s="159"/>
      <c r="E10" s="159"/>
      <c r="F10" s="159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6" x14ac:dyDescent="0.3">
      <c r="B11" s="161" t="s">
        <v>176</v>
      </c>
      <c r="C11" s="162">
        <v>17000</v>
      </c>
      <c r="D11" s="161"/>
      <c r="E11" s="161"/>
      <c r="F11" s="161"/>
      <c r="G11" s="163"/>
      <c r="H11" s="492" t="s">
        <v>209</v>
      </c>
      <c r="I11" s="492"/>
      <c r="J11" s="492"/>
      <c r="K11" s="492"/>
      <c r="L11" s="492"/>
      <c r="M11" s="492"/>
      <c r="N11" s="492"/>
      <c r="O11" s="492"/>
      <c r="R11" s="164"/>
      <c r="S11" s="164"/>
      <c r="T11" s="164"/>
      <c r="U11" s="164"/>
      <c r="V11" s="164"/>
      <c r="W11" s="164"/>
      <c r="X11" s="164"/>
      <c r="Y11" s="492" t="s">
        <v>177</v>
      </c>
      <c r="Z11" s="492"/>
      <c r="AA11" s="492"/>
      <c r="AB11" s="492"/>
      <c r="AC11" s="492"/>
      <c r="AD11" s="492"/>
      <c r="AE11" s="492"/>
      <c r="AF11" s="492"/>
    </row>
    <row r="12" spans="2:34" ht="20.25" customHeight="1" x14ac:dyDescent="0.25">
      <c r="B12" s="165" t="s">
        <v>178</v>
      </c>
      <c r="C12" s="166">
        <f>C11/15*30.4</f>
        <v>34453.333333333328</v>
      </c>
      <c r="D12" s="167"/>
      <c r="E12" s="167"/>
      <c r="F12" s="167"/>
      <c r="G12" s="168"/>
      <c r="H12" s="164"/>
      <c r="J12" s="169"/>
      <c r="K12" s="169"/>
      <c r="R12" s="1"/>
      <c r="S12" s="1"/>
      <c r="T12" s="1"/>
      <c r="U12" s="1"/>
      <c r="V12" s="1"/>
      <c r="W12" s="168"/>
      <c r="X12" s="164"/>
      <c r="Y12" s="164"/>
      <c r="AA12" s="169"/>
      <c r="AB12" s="169"/>
    </row>
    <row r="13" spans="2:34" ht="22.5" customHeight="1" x14ac:dyDescent="0.3">
      <c r="B13" s="170" t="s">
        <v>179</v>
      </c>
      <c r="C13" s="166">
        <v>0</v>
      </c>
      <c r="D13" s="167"/>
      <c r="E13" s="167"/>
      <c r="F13" s="167"/>
      <c r="H13" s="232" t="s">
        <v>211</v>
      </c>
      <c r="I13" s="171"/>
      <c r="J13" s="164"/>
      <c r="K13" s="1"/>
      <c r="L13" s="171"/>
      <c r="M13" s="164"/>
      <c r="N13" s="164"/>
      <c r="P13" s="171" t="s">
        <v>124</v>
      </c>
      <c r="Q13" s="172"/>
      <c r="Y13" s="171" t="s">
        <v>180</v>
      </c>
      <c r="Z13" s="171"/>
      <c r="AA13" s="164"/>
      <c r="AB13" s="1"/>
      <c r="AC13" s="171"/>
      <c r="AD13" s="164"/>
      <c r="AE13" s="164"/>
      <c r="AG13" s="171" t="s">
        <v>124</v>
      </c>
      <c r="AH13" s="172"/>
    </row>
    <row r="14" spans="2:34" ht="13.5" customHeight="1" x14ac:dyDescent="0.3">
      <c r="B14" s="170" t="s">
        <v>181</v>
      </c>
      <c r="C14" s="173"/>
      <c r="D14" s="167"/>
      <c r="E14" s="167"/>
      <c r="F14" s="167"/>
      <c r="H14" s="163" t="s">
        <v>175</v>
      </c>
      <c r="I14" s="164"/>
      <c r="J14" s="171"/>
      <c r="K14" s="174"/>
      <c r="L14" s="163"/>
      <c r="M14" s="171"/>
      <c r="N14" s="175"/>
      <c r="O14" s="176"/>
      <c r="P14" s="163" t="s">
        <v>182</v>
      </c>
      <c r="Q14" s="177"/>
      <c r="Y14" s="163" t="s">
        <v>175</v>
      </c>
      <c r="Z14" s="164"/>
      <c r="AA14" s="171"/>
      <c r="AB14" s="174"/>
      <c r="AC14" s="163"/>
      <c r="AD14" s="171"/>
      <c r="AE14" s="175"/>
      <c r="AF14" s="176"/>
      <c r="AG14" s="163" t="s">
        <v>182</v>
      </c>
      <c r="AH14" s="177"/>
    </row>
    <row r="15" spans="2:34" ht="20.25" customHeight="1" x14ac:dyDescent="0.25">
      <c r="B15" s="170" t="s">
        <v>183</v>
      </c>
      <c r="C15" s="166">
        <f>C12-C13</f>
        <v>34453.333333333328</v>
      </c>
      <c r="D15" s="167"/>
      <c r="E15" s="178"/>
      <c r="F15" s="167"/>
      <c r="H15" s="179" t="s">
        <v>184</v>
      </c>
      <c r="I15" s="179" t="s">
        <v>185</v>
      </c>
      <c r="J15" s="179" t="s">
        <v>186</v>
      </c>
      <c r="K15" s="180"/>
      <c r="L15" s="179"/>
      <c r="M15" s="179"/>
      <c r="N15" s="179"/>
      <c r="O15" s="181"/>
      <c r="P15" s="179" t="s">
        <v>187</v>
      </c>
      <c r="Q15" s="179" t="s">
        <v>124</v>
      </c>
      <c r="Y15" s="179" t="s">
        <v>184</v>
      </c>
      <c r="Z15" s="179" t="s">
        <v>185</v>
      </c>
      <c r="AA15" s="179" t="s">
        <v>186</v>
      </c>
      <c r="AB15" s="180"/>
      <c r="AC15" s="179"/>
      <c r="AD15" s="179"/>
      <c r="AE15" s="179"/>
      <c r="AF15" s="181"/>
      <c r="AG15" s="179" t="s">
        <v>187</v>
      </c>
      <c r="AH15" s="179" t="s">
        <v>124</v>
      </c>
    </row>
    <row r="16" spans="2:34" ht="22.5" customHeight="1" x14ac:dyDescent="0.25">
      <c r="B16" s="170" t="s">
        <v>188</v>
      </c>
      <c r="C16" s="166">
        <f>VLOOKUP(C15,TARIFA,1)</f>
        <v>26988.51</v>
      </c>
      <c r="D16" s="167"/>
      <c r="E16" s="178"/>
      <c r="F16" s="167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5">
      <c r="B17" s="167"/>
      <c r="C17" s="173"/>
      <c r="D17" s="167"/>
      <c r="E17" s="182"/>
      <c r="F17" s="167"/>
      <c r="H17" s="183">
        <v>0.01</v>
      </c>
      <c r="I17" s="183">
        <v>0</v>
      </c>
      <c r="J17" s="184">
        <v>1.9199999999999998E-2</v>
      </c>
      <c r="K17" s="183"/>
      <c r="L17" s="183"/>
      <c r="M17" s="183"/>
      <c r="N17" s="184"/>
      <c r="O17" s="183"/>
      <c r="P17" s="183">
        <v>0.01</v>
      </c>
      <c r="Q17" s="183">
        <v>407.02</v>
      </c>
      <c r="Y17" s="183">
        <v>0.01</v>
      </c>
      <c r="Z17" s="183">
        <v>0</v>
      </c>
      <c r="AA17" s="184">
        <v>1.9199999999999998E-2</v>
      </c>
      <c r="AB17" s="183"/>
      <c r="AC17" s="183"/>
      <c r="AD17" s="183"/>
      <c r="AE17" s="184"/>
      <c r="AF17" s="183"/>
      <c r="AG17" s="183">
        <v>0.01</v>
      </c>
      <c r="AH17" s="183">
        <v>407.02</v>
      </c>
    </row>
    <row r="18" spans="2:34" ht="20.25" customHeight="1" x14ac:dyDescent="0.25">
      <c r="B18" s="170" t="s">
        <v>189</v>
      </c>
      <c r="C18" s="166">
        <f>C15-C16</f>
        <v>7464.8233333333301</v>
      </c>
      <c r="D18" s="178"/>
      <c r="E18" s="178"/>
      <c r="F18" s="167"/>
      <c r="H18" s="183">
        <v>644.59</v>
      </c>
      <c r="I18" s="183">
        <v>12.38</v>
      </c>
      <c r="J18" s="184">
        <v>6.4000000000000001E-2</v>
      </c>
      <c r="K18" s="183"/>
      <c r="L18" s="183"/>
      <c r="M18" s="183"/>
      <c r="N18" s="184"/>
      <c r="O18" s="183"/>
      <c r="P18" s="183">
        <v>1768.97</v>
      </c>
      <c r="Q18" s="183">
        <v>406.83</v>
      </c>
      <c r="Y18" s="183">
        <v>578.53</v>
      </c>
      <c r="Z18" s="183">
        <v>11.11</v>
      </c>
      <c r="AA18" s="184">
        <v>6.4000000000000001E-2</v>
      </c>
      <c r="AB18" s="183"/>
      <c r="AC18" s="183"/>
      <c r="AD18" s="183"/>
      <c r="AE18" s="184"/>
      <c r="AF18" s="183"/>
      <c r="AG18" s="183">
        <v>1768.97</v>
      </c>
      <c r="AH18" s="183">
        <v>406.83</v>
      </c>
    </row>
    <row r="19" spans="2:34" ht="22.5" customHeight="1" x14ac:dyDescent="0.25">
      <c r="B19" s="170" t="s">
        <v>190</v>
      </c>
      <c r="C19" s="185">
        <f>VLOOKUP(C15,TARIFA,3)</f>
        <v>0.23519999999999999</v>
      </c>
      <c r="D19" s="167"/>
      <c r="E19" s="186"/>
      <c r="F19" s="167"/>
      <c r="H19" s="183">
        <v>5470.93</v>
      </c>
      <c r="I19" s="183">
        <v>321.26</v>
      </c>
      <c r="J19" s="184">
        <v>0.10879999999999999</v>
      </c>
      <c r="K19" s="183"/>
      <c r="L19" s="183"/>
      <c r="M19" s="183"/>
      <c r="N19" s="184"/>
      <c r="O19" s="183"/>
      <c r="P19" s="183">
        <v>2653.39</v>
      </c>
      <c r="Q19" s="183">
        <v>406.62</v>
      </c>
      <c r="Y19" s="183">
        <v>4910.1899999999996</v>
      </c>
      <c r="Z19" s="183">
        <v>288.33</v>
      </c>
      <c r="AA19" s="184">
        <v>0.10879999999999999</v>
      </c>
      <c r="AB19" s="183"/>
      <c r="AC19" s="183"/>
      <c r="AD19" s="183"/>
      <c r="AE19" s="184"/>
      <c r="AF19" s="183"/>
      <c r="AG19" s="183">
        <v>2653.39</v>
      </c>
      <c r="AH19" s="183">
        <v>406.62</v>
      </c>
    </row>
    <row r="20" spans="2:34" ht="14.25" customHeight="1" x14ac:dyDescent="0.25">
      <c r="B20" s="167"/>
      <c r="C20" s="182"/>
      <c r="D20" s="167"/>
      <c r="E20" s="182"/>
      <c r="F20" s="167"/>
      <c r="H20" s="183">
        <v>9614.67</v>
      </c>
      <c r="I20" s="183">
        <v>772.1</v>
      </c>
      <c r="J20" s="184">
        <v>0.16</v>
      </c>
      <c r="K20" s="183"/>
      <c r="L20" s="183"/>
      <c r="M20" s="183"/>
      <c r="N20" s="184"/>
      <c r="O20" s="183"/>
      <c r="P20" s="183">
        <v>3472.85</v>
      </c>
      <c r="Q20" s="183">
        <v>392.77</v>
      </c>
      <c r="Y20" s="183">
        <v>8629.2099999999991</v>
      </c>
      <c r="Z20" s="183">
        <v>692.96</v>
      </c>
      <c r="AA20" s="184">
        <v>0.16</v>
      </c>
      <c r="AB20" s="183"/>
      <c r="AC20" s="183"/>
      <c r="AD20" s="183"/>
      <c r="AE20" s="184"/>
      <c r="AF20" s="183"/>
      <c r="AG20" s="183">
        <v>3472.85</v>
      </c>
      <c r="AH20" s="183">
        <v>392.77</v>
      </c>
    </row>
    <row r="21" spans="2:34" ht="20.25" customHeight="1" x14ac:dyDescent="0.25">
      <c r="B21" s="187" t="s">
        <v>191</v>
      </c>
      <c r="C21" s="188">
        <f>C18*C19</f>
        <v>1755.7264479999992</v>
      </c>
      <c r="D21" s="189"/>
      <c r="E21" s="189"/>
      <c r="F21" s="167"/>
      <c r="H21" s="183">
        <v>11176.63</v>
      </c>
      <c r="I21" s="183">
        <v>1022.01</v>
      </c>
      <c r="J21" s="184">
        <v>0.1792</v>
      </c>
      <c r="K21" s="183"/>
      <c r="L21" s="183"/>
      <c r="M21" s="183"/>
      <c r="N21" s="184"/>
      <c r="O21" s="183"/>
      <c r="P21" s="183">
        <v>3537.88</v>
      </c>
      <c r="Q21" s="183">
        <v>382.46</v>
      </c>
      <c r="Y21" s="183">
        <v>10031.08</v>
      </c>
      <c r="Z21" s="183">
        <v>917.26</v>
      </c>
      <c r="AA21" s="184">
        <v>0.1792</v>
      </c>
      <c r="AB21" s="183"/>
      <c r="AC21" s="183"/>
      <c r="AD21" s="183"/>
      <c r="AE21" s="184"/>
      <c r="AF21" s="183"/>
      <c r="AG21" s="183">
        <v>3537.88</v>
      </c>
      <c r="AH21" s="183">
        <v>382.46</v>
      </c>
    </row>
    <row r="22" spans="2:34" ht="17.25" customHeight="1" x14ac:dyDescent="0.25">
      <c r="B22" s="170" t="s">
        <v>192</v>
      </c>
      <c r="C22" s="166">
        <f>VLOOKUP(C15,TARIFA,2)</f>
        <v>4323.58</v>
      </c>
      <c r="D22" s="167"/>
      <c r="E22" s="190"/>
      <c r="F22" s="167"/>
      <c r="H22" s="183">
        <v>13381.48</v>
      </c>
      <c r="I22" s="183">
        <v>1417.12</v>
      </c>
      <c r="J22" s="184">
        <v>0.21360000000000001</v>
      </c>
      <c r="K22" s="183"/>
      <c r="L22" s="183"/>
      <c r="M22" s="183"/>
      <c r="N22" s="184"/>
      <c r="O22" s="183"/>
      <c r="P22" s="183">
        <v>4446.16</v>
      </c>
      <c r="Q22" s="183">
        <v>354.23</v>
      </c>
      <c r="Y22" s="183">
        <v>12009.95</v>
      </c>
      <c r="Z22" s="183">
        <v>1271.8699999999999</v>
      </c>
      <c r="AA22" s="184">
        <v>0.21360000000000001</v>
      </c>
      <c r="AB22" s="183"/>
      <c r="AC22" s="183"/>
      <c r="AD22" s="183"/>
      <c r="AE22" s="184"/>
      <c r="AF22" s="183"/>
      <c r="AG22" s="183">
        <v>4446.16</v>
      </c>
      <c r="AH22" s="183">
        <v>354.23</v>
      </c>
    </row>
    <row r="23" spans="2:34" ht="14.25" customHeight="1" x14ac:dyDescent="0.25">
      <c r="B23" s="58"/>
      <c r="C23" s="191"/>
      <c r="D23" s="167"/>
      <c r="E23" s="182"/>
      <c r="F23" s="167"/>
      <c r="H23" s="183">
        <v>26988.51</v>
      </c>
      <c r="I23" s="183">
        <v>4323.58</v>
      </c>
      <c r="J23" s="184">
        <v>0.23519999999999999</v>
      </c>
      <c r="K23" s="183"/>
      <c r="L23" s="183"/>
      <c r="M23" s="183"/>
      <c r="N23" s="184"/>
      <c r="O23" s="183"/>
      <c r="P23" s="183">
        <v>4717.1899999999996</v>
      </c>
      <c r="Q23" s="183">
        <v>324.87</v>
      </c>
      <c r="Y23" s="183">
        <v>24222.32</v>
      </c>
      <c r="Z23" s="183">
        <v>3880.44</v>
      </c>
      <c r="AA23" s="184">
        <v>0.23519999999999999</v>
      </c>
      <c r="AB23" s="183"/>
      <c r="AC23" s="183"/>
      <c r="AD23" s="183"/>
      <c r="AE23" s="184"/>
      <c r="AF23" s="183"/>
      <c r="AG23" s="183">
        <v>4717.1899999999996</v>
      </c>
      <c r="AH23" s="183">
        <v>324.87</v>
      </c>
    </row>
    <row r="24" spans="2:34" ht="20.25" customHeight="1" x14ac:dyDescent="0.25">
      <c r="B24" s="58" t="s">
        <v>193</v>
      </c>
      <c r="C24" s="191">
        <f>+C21+C22</f>
        <v>6079.3064479999994</v>
      </c>
      <c r="D24" s="167"/>
      <c r="E24" s="189"/>
      <c r="F24" s="192"/>
      <c r="H24" s="183">
        <v>42537.59</v>
      </c>
      <c r="I24" s="183">
        <v>7980.73</v>
      </c>
      <c r="J24" s="184">
        <v>0.3</v>
      </c>
      <c r="K24" s="183"/>
      <c r="L24" s="183"/>
      <c r="M24" s="183"/>
      <c r="N24" s="184"/>
      <c r="O24" s="183"/>
      <c r="P24" s="183">
        <v>5335.43</v>
      </c>
      <c r="Q24" s="183">
        <v>294.63</v>
      </c>
      <c r="Y24" s="183">
        <v>38177.699999999997</v>
      </c>
      <c r="Z24" s="183">
        <v>7162.74</v>
      </c>
      <c r="AA24" s="184">
        <v>0.3</v>
      </c>
      <c r="AB24" s="183"/>
      <c r="AC24" s="183"/>
      <c r="AD24" s="183"/>
      <c r="AE24" s="184"/>
      <c r="AF24" s="183"/>
      <c r="AG24" s="183">
        <v>5335.43</v>
      </c>
      <c r="AH24" s="183">
        <v>294.63</v>
      </c>
    </row>
    <row r="25" spans="2:34" ht="21.75" customHeight="1" x14ac:dyDescent="0.25">
      <c r="C25" s="193"/>
      <c r="D25" s="194"/>
      <c r="E25" s="178"/>
      <c r="F25" s="167"/>
      <c r="H25" s="183">
        <v>81211.259999999995</v>
      </c>
      <c r="I25" s="183">
        <v>19582.830000000002</v>
      </c>
      <c r="J25" s="184">
        <v>0.32</v>
      </c>
      <c r="K25" s="183"/>
      <c r="L25" s="183"/>
      <c r="M25" s="183"/>
      <c r="N25" s="195"/>
      <c r="O25" s="183"/>
      <c r="P25" s="183">
        <v>6224.68</v>
      </c>
      <c r="Q25" s="183">
        <v>253.54</v>
      </c>
      <c r="Y25" s="183">
        <v>72887.509999999995</v>
      </c>
      <c r="Z25" s="183">
        <v>17575.689999999999</v>
      </c>
      <c r="AA25" s="184">
        <v>0.32</v>
      </c>
      <c r="AB25" s="183"/>
      <c r="AC25" s="183"/>
      <c r="AD25" s="183"/>
      <c r="AE25" s="195"/>
      <c r="AF25" s="183"/>
      <c r="AG25" s="183">
        <v>6224.68</v>
      </c>
      <c r="AH25" s="183">
        <v>253.54</v>
      </c>
    </row>
    <row r="26" spans="2:34" ht="21.75" customHeight="1" x14ac:dyDescent="0.25">
      <c r="B26" s="170" t="s">
        <v>194</v>
      </c>
      <c r="C26" s="166">
        <f>VLOOKUP(C15,SUBSIDIO,2)</f>
        <v>0</v>
      </c>
      <c r="D26" s="167"/>
      <c r="E26" s="196"/>
      <c r="F26" s="58"/>
      <c r="H26" s="183">
        <v>108281.68</v>
      </c>
      <c r="I26" s="183">
        <v>28245.360000000001</v>
      </c>
      <c r="J26" s="184">
        <v>0.34</v>
      </c>
      <c r="K26" s="183"/>
      <c r="L26" s="183"/>
      <c r="M26" s="183"/>
      <c r="N26" s="183"/>
      <c r="O26" s="183"/>
      <c r="P26" s="183">
        <v>7113.91</v>
      </c>
      <c r="Q26" s="183">
        <v>217.61</v>
      </c>
      <c r="Y26" s="183">
        <v>97183.34</v>
      </c>
      <c r="Z26" s="183">
        <v>25350.35</v>
      </c>
      <c r="AA26" s="184">
        <v>0.34</v>
      </c>
      <c r="AB26" s="183"/>
      <c r="AC26" s="183"/>
      <c r="AD26" s="183"/>
      <c r="AE26" s="183"/>
      <c r="AF26" s="183"/>
      <c r="AG26" s="183">
        <v>7113.91</v>
      </c>
      <c r="AH26" s="183">
        <v>217.61</v>
      </c>
    </row>
    <row r="27" spans="2:34" ht="13.8" x14ac:dyDescent="0.25">
      <c r="B27" s="167"/>
      <c r="C27" s="173"/>
      <c r="D27" s="167"/>
      <c r="E27" s="182"/>
      <c r="F27" s="197"/>
      <c r="H27" s="183">
        <v>324845.02</v>
      </c>
      <c r="I27" s="183">
        <v>101876.9</v>
      </c>
      <c r="J27" s="184">
        <v>0.35</v>
      </c>
      <c r="K27" s="183"/>
      <c r="L27" s="183"/>
      <c r="M27" s="183"/>
      <c r="N27" s="183"/>
      <c r="O27" s="183"/>
      <c r="P27" s="183">
        <v>7382.34</v>
      </c>
      <c r="Q27" s="183">
        <v>0</v>
      </c>
      <c r="Y27" s="183">
        <v>291550.01</v>
      </c>
      <c r="Z27" s="183">
        <v>91435.02</v>
      </c>
      <c r="AA27" s="184">
        <v>0.35</v>
      </c>
      <c r="AB27" s="183"/>
      <c r="AC27" s="183"/>
      <c r="AD27" s="183"/>
      <c r="AE27" s="183"/>
      <c r="AF27" s="183"/>
      <c r="AG27" s="183">
        <v>7382.34</v>
      </c>
      <c r="AH27" s="183">
        <v>0</v>
      </c>
    </row>
    <row r="28" spans="2:34" ht="21.75" customHeight="1" thickBot="1" x14ac:dyDescent="0.3">
      <c r="B28" s="165" t="s">
        <v>195</v>
      </c>
      <c r="C28" s="198">
        <f>IF(C24&gt;C26,C24-C26,0)</f>
        <v>6079.3064479999994</v>
      </c>
      <c r="D28" s="167"/>
      <c r="E28" s="182"/>
      <c r="F28" s="167"/>
      <c r="H28" s="183"/>
      <c r="I28" s="183"/>
      <c r="J28" s="184"/>
      <c r="Y28" s="183"/>
      <c r="Z28" s="183"/>
      <c r="AA28" s="184"/>
    </row>
    <row r="29" spans="2:34" ht="20.25" customHeight="1" thickTop="1" thickBot="1" x14ac:dyDescent="0.3">
      <c r="C29" s="193"/>
      <c r="D29" s="167"/>
      <c r="E29" s="167"/>
      <c r="F29" s="167"/>
      <c r="H29" s="183"/>
      <c r="I29" s="183"/>
      <c r="J29" s="183"/>
      <c r="Y29" s="183"/>
      <c r="Z29" s="183"/>
      <c r="AA29" s="183"/>
    </row>
    <row r="30" spans="2:34" ht="20.25" customHeight="1" thickTop="1" thickBot="1" x14ac:dyDescent="0.3">
      <c r="B30" s="165" t="s">
        <v>196</v>
      </c>
      <c r="C30" s="199">
        <f>IF(C24&lt;C26,C26-C24,0)</f>
        <v>0</v>
      </c>
      <c r="D30" s="167"/>
      <c r="E30" s="167"/>
      <c r="F30" s="167"/>
      <c r="H30" s="183"/>
      <c r="I30" s="183"/>
      <c r="J30" s="183"/>
      <c r="Y30" s="183"/>
      <c r="Z30" s="183"/>
      <c r="AA30" s="183"/>
    </row>
    <row r="31" spans="2:34" ht="27.75" customHeight="1" thickBot="1" x14ac:dyDescent="0.3">
      <c r="B31" s="200" t="s">
        <v>197</v>
      </c>
      <c r="C31" s="201">
        <f>IF((C28/30.4*15)&gt;0,(C28/30.4*15),0)</f>
        <v>2999.657786842105</v>
      </c>
      <c r="D31" s="167"/>
      <c r="E31" s="167"/>
      <c r="F31" s="167"/>
    </row>
    <row r="32" spans="2:34" ht="20.25" customHeight="1" thickBot="1" x14ac:dyDescent="0.3">
      <c r="B32" s="200" t="s">
        <v>198</v>
      </c>
      <c r="C32" s="201">
        <f>IF((C30/30.4*15)&gt;0,(C30/30.4*15),0)</f>
        <v>0</v>
      </c>
      <c r="D32" s="167"/>
      <c r="E32" s="167"/>
      <c r="F32" s="167"/>
    </row>
    <row r="33" spans="2:6" ht="20.25" customHeight="1" x14ac:dyDescent="0.25">
      <c r="B33" s="58"/>
      <c r="C33" s="58"/>
      <c r="D33" s="167"/>
      <c r="E33" s="167"/>
      <c r="F33" s="167"/>
    </row>
    <row r="34" spans="2:6" ht="20.25" customHeight="1" x14ac:dyDescent="0.3">
      <c r="B34" s="202" t="s">
        <v>199</v>
      </c>
      <c r="C34" s="58"/>
      <c r="D34" s="167"/>
      <c r="E34" s="167"/>
      <c r="F34" s="167"/>
    </row>
    <row r="35" spans="2:6" ht="10.5" customHeight="1" x14ac:dyDescent="0.25">
      <c r="B35" s="150"/>
      <c r="C35" s="150"/>
      <c r="D35" s="150"/>
      <c r="E35" s="150"/>
      <c r="F35" s="150"/>
    </row>
    <row r="36" spans="2:6" ht="18" customHeight="1" x14ac:dyDescent="0.3">
      <c r="B36" s="203" t="s">
        <v>200</v>
      </c>
      <c r="C36" s="204"/>
      <c r="D36" s="150"/>
      <c r="E36" s="150"/>
      <c r="F36" s="150"/>
    </row>
    <row r="37" spans="2:6" ht="17.25" customHeight="1" x14ac:dyDescent="0.3">
      <c r="B37" s="203" t="s">
        <v>210</v>
      </c>
      <c r="C37" s="204"/>
      <c r="D37" s="150"/>
      <c r="E37" s="150"/>
      <c r="F37" s="150"/>
    </row>
    <row r="38" spans="2:6" ht="13.2" x14ac:dyDescent="0.25">
      <c r="B38" s="150"/>
      <c r="C38" s="150"/>
      <c r="D38" s="150"/>
      <c r="E38" s="150"/>
      <c r="F38" s="1"/>
    </row>
    <row r="39" spans="2:6" ht="13.2" x14ac:dyDescent="0.25">
      <c r="B39" s="150"/>
      <c r="C39" s="150"/>
      <c r="D39" s="150"/>
      <c r="E39" s="150"/>
      <c r="F39" s="205"/>
    </row>
    <row r="40" spans="2:6" ht="13.2" x14ac:dyDescent="0.25">
      <c r="B40" s="150"/>
      <c r="C40" s="150"/>
      <c r="D40" s="150"/>
      <c r="E40" s="150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Acer</cp:lastModifiedBy>
  <cp:lastPrinted>2021-11-16T16:12:03Z</cp:lastPrinted>
  <dcterms:created xsi:type="dcterms:W3CDTF">2000-05-05T04:08:27Z</dcterms:created>
  <dcterms:modified xsi:type="dcterms:W3CDTF">2021-12-01T19:45:50Z</dcterms:modified>
</cp:coreProperties>
</file>